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7pn+gKcmt1uIs7a1FZ8kNhoRETd9zs704bnq2dYR16juUD4kuDE9oDKyX0aqSriIKBkmZUa0qwkFauNa25Pug==" workbookSaltValue="S2NyT+RqhHkV9/zBRH2b1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AP15" i="20"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ER19" i="8"/>
  <c r="EQ19" i="8"/>
  <c r="BA13" i="16"/>
  <c r="AC17" i="11"/>
  <c r="G18" i="12"/>
  <c r="W19" i="13"/>
  <c r="AL13" i="16"/>
  <c r="S13" i="16"/>
  <c r="P13" i="16"/>
  <c r="AN13" i="20"/>
  <c r="Z13" i="17"/>
  <c r="M18" i="2"/>
  <c r="H13" i="12"/>
  <c r="T19" i="8"/>
  <c r="T13" i="12"/>
  <c r="BJ12" i="11"/>
  <c r="BG15" i="11"/>
  <c r="BK17" i="11"/>
  <c r="T15" i="16"/>
  <c r="BW9" i="20"/>
  <c r="BV16" i="16"/>
  <c r="BV15" i="16"/>
  <c r="BU9" i="17"/>
  <c r="BU17" i="17"/>
  <c r="BV9" i="16"/>
  <c r="S11" i="14"/>
  <c r="V11" i="14" s="1"/>
  <c r="P15" i="17"/>
  <c r="BL15" i="11"/>
  <c r="BJ10" i="11"/>
  <c r="BH11" i="11"/>
  <c r="S17" i="17"/>
  <c r="BH12" i="16"/>
  <c r="BG12" i="8"/>
  <c r="BD9" i="8"/>
  <c r="I19" i="8"/>
  <c r="S15" i="17"/>
  <c r="E13" i="17"/>
  <c r="L15" i="2"/>
  <c r="V10" i="16"/>
  <c r="T13" i="20"/>
  <c r="T13" i="16"/>
  <c r="AP13" i="16"/>
  <c r="V9" i="16"/>
  <c r="T18" i="17"/>
  <c r="BG15" i="13"/>
  <c r="J20" i="20"/>
  <c r="AF20" i="20"/>
  <c r="M20" i="20"/>
  <c r="AG20" i="20"/>
  <c r="S20" i="20"/>
  <c r="K20" i="20"/>
  <c r="Z20" i="20"/>
  <c r="AM20" i="20"/>
  <c r="AK20" i="20"/>
  <c r="W20" i="21"/>
  <c r="F20" i="20"/>
  <c r="AR18" i="11" l="1"/>
  <c r="AN17" i="11"/>
  <c r="D18" i="12"/>
  <c r="C19" i="3"/>
  <c r="AJ19" i="8"/>
  <c r="Z19" i="8"/>
  <c r="D13" i="7"/>
  <c r="AA19" i="8"/>
  <c r="BF9" i="8"/>
  <c r="J9" i="7" s="1"/>
  <c r="BA13" i="8"/>
  <c r="BG9" i="8"/>
  <c r="X15" i="16"/>
  <c r="X18" i="16" s="1"/>
  <c r="BK10" i="11"/>
  <c r="BM9" i="11"/>
  <c r="BG16" i="11"/>
  <c r="BK16" i="11"/>
  <c r="BL10" i="11"/>
  <c r="BF12" i="11"/>
  <c r="S15" i="16"/>
  <c r="S12" i="14"/>
  <c r="V12" i="14" s="1"/>
  <c r="BU16" i="17"/>
  <c r="BV10" i="16"/>
  <c r="BW15" i="20"/>
  <c r="BW16" i="20"/>
  <c r="BW17" i="20"/>
  <c r="BU15" i="17"/>
  <c r="T17" i="16"/>
  <c r="R17" i="20"/>
  <c r="R18" i="20" s="1"/>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AO12" i="11"/>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J15" i="12" l="1"/>
  <c r="K10" i="12"/>
  <c r="J9"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6"/>
  <c r="T20" i="16"/>
  <c r="AG20" i="21"/>
  <c r="AL20" i="11"/>
  <c r="AF20" i="21"/>
  <c r="AF20" i="16"/>
  <c r="AT20" i="20"/>
  <c r="AF20" i="17"/>
  <c r="AC20" i="16"/>
  <c r="K20" i="17"/>
  <c r="AU20" i="16"/>
  <c r="BM20" i="16"/>
  <c r="AJ20" i="21"/>
  <c r="F20" i="12"/>
  <c r="V20" i="17"/>
  <c r="AO20" i="21"/>
  <c r="AD20" i="16"/>
  <c r="AN20" i="11"/>
  <c r="BN20" i="16"/>
  <c r="M20" i="17"/>
  <c r="E20" i="12"/>
  <c r="AS20" i="16"/>
  <c r="W20" i="17"/>
  <c r="M20" i="11"/>
  <c r="H20" i="21"/>
  <c r="X20" i="21"/>
  <c r="AG20" i="16"/>
  <c r="BS20" i="16"/>
  <c r="U20" i="11"/>
  <c r="AI20" i="21"/>
  <c r="H20" i="11"/>
  <c r="AW20" i="16"/>
  <c r="AL20" i="17"/>
  <c r="O20" i="17"/>
  <c r="Z20" i="17"/>
  <c r="AW20" i="21"/>
  <c r="AN20" i="16"/>
  <c r="AM20" i="17"/>
  <c r="AJ20" i="11"/>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<sst xmlns="http://schemas.openxmlformats.org/spreadsheetml/2006/main" count="2080" uniqueCount="913">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</sst>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BNwQdiLxMHWgzCXQU7BvV9j+3k2FIi4QmduxcnopEWOtibOZqB64fE2LZtIyMpZvcTfKq42y5L2m60qL7q/QA==" saltValue="/gvLqSa8NYYBh1yYejpc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6.9073573167433047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37</v>
      </c>
      <c r="D10" s="228">
        <f>IF(ISNUMBER(Datos!I10),Datos!I10," - ")</f>
        <v>37</v>
      </c>
      <c r="E10" s="229">
        <f>IF(ISNUMBER(Datos!J10),Datos!J10," - ")</f>
        <v>154</v>
      </c>
      <c r="F10" s="229">
        <f>IF(ISNUMBER(Datos!K10),Datos!K10," - ")</f>
        <v>139</v>
      </c>
      <c r="G10" s="1037" t="str">
        <f>IF(Datos!E10&lt;&gt;"",Datos!E10,Datos!D10)</f>
        <v>37</v>
      </c>
      <c r="H10" s="230">
        <f>IF(ISNUMBER(Datos!L10),Datos!L10," - ")</f>
        <v>52</v>
      </c>
      <c r="I10" s="1047" t="str">
        <f>IF(ISNUMBER(Datos!AS10/Datos!BM10),Datos!AS10/Datos!BM10," - ")</f>
        <v xml:space="preserve"> - </v>
      </c>
      <c r="J10" s="1048">
        <f>IF(ISNUMBER(Datos!BY10/Datos!CN10),Datos!BY10/Datos!CN10," - ")</f>
        <v>0</v>
      </c>
      <c r="K10" s="233">
        <f t="shared" ref="K10:K12" si="1">IF(ISNUMBER((E10-F10)/C10),(E10-F10)/C10," - ")</f>
        <v>0.40540540540540543</v>
      </c>
      <c r="L10" s="1028">
        <f>IF(ISNUMBER(NºAsuntos!I10/NºAsuntos!G10),(NºAsuntos!I10/NºAsuntos!G10)*11," - ")</f>
        <v>4.1151079136690649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4.8413610251878039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37</v>
      </c>
      <c r="D13" s="1052">
        <f>SUBTOTAL(9,D9:D12)</f>
        <v>37</v>
      </c>
      <c r="E13" s="1053">
        <f>SUBTOTAL(9,E9:E12)</f>
        <v>154</v>
      </c>
      <c r="F13" s="1054">
        <f>SUBTOTAL(9,F9:F12)</f>
        <v>139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1228</v>
      </c>
      <c r="D15" s="228">
        <f>IF(ISNUMBER(IF(D_I="SI",Datos!I15,Datos!I15+Datos!AC15)),IF(D_I="SI",Datos!I15,Datos!I15+Datos!AC15)," - ")</f>
        <v>1305</v>
      </c>
      <c r="E15" s="229">
        <f>IF(ISNUMBER(IF(D_I="SI",Datos!J15,Datos!J15+Datos!AD15)),IF(D_I="SI",Datos!J15,Datos!J15+Datos!AD15)," - ")</f>
        <v>10588</v>
      </c>
      <c r="F15" s="229">
        <f>IF(ISNUMBER(IF(D_I="SI",Datos!K15,Datos!K15+Datos!AE15)),IF(D_I="SI",Datos!K15,Datos!K15+Datos!AE15)," - ")</f>
        <v>10255</v>
      </c>
      <c r="G15" s="1037" t="str">
        <f>IF(Datos!E15&lt;&gt;"",Datos!E15,Datos!D15)</f>
        <v>03</v>
      </c>
      <c r="H15" s="230">
        <f>IF(ISNUMBER(IF(D_I="SI",Datos!L15,Datos!L15+Datos!AF15)),IF(D_I="SI",Datos!L15,Datos!L15+Datos!AF15)," - ")</f>
        <v>1561</v>
      </c>
      <c r="I15" s="1047" t="str">
        <f>IF(ISNUMBER(Datos!AS15/Datos!BM15),Datos!AS15/Datos!BM15," - ")</f>
        <v xml:space="preserve"> - </v>
      </c>
      <c r="J15" s="1048">
        <f>IF(ISNUMBER(Datos!BY15/Datos!CN15),Datos!BY15/Datos!CN15," - ")</f>
        <v>0</v>
      </c>
      <c r="K15" s="233">
        <f t="shared" ref="K15:K17" si="3">IF(ISNUMBER((E15-F15)/C15),(E15-F15)/C15," - ")</f>
        <v>0.27117263843648209</v>
      </c>
      <c r="L15" s="1028">
        <f>IF(ISNUMBER(NºAsuntos!I15/NºAsuntos!G15),(NºAsuntos!I15/NºAsuntos!G15)*11," - ")</f>
        <v>1.6744027303754265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80</v>
      </c>
      <c r="D17" s="228">
        <f>IF(ISNUMBER(IF(D_I="SI",Datos!I17,Datos!I17+Datos!AC17)),IF(D_I="SI",Datos!I17,Datos!I17+Datos!AC17)," - ")</f>
        <v>70</v>
      </c>
      <c r="E17" s="229">
        <f>IF(ISNUMBER(IF(D_I="SI",Datos!J17,Datos!J17+Datos!AD17)),IF(D_I="SI",Datos!J17,Datos!J17+Datos!AD17)," - ")</f>
        <v>1635</v>
      </c>
      <c r="F17" s="229">
        <f>IF(ISNUMBER(IF(D_I="SI",Datos!K17,Datos!K17+Datos!AE17)),IF(D_I="SI",Datos!K17,Datos!K17+Datos!AE17)," - ")</f>
        <v>1626</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0.1125</v>
      </c>
      <c r="L17" s="1028">
        <f>IF(ISNUMBER(NºAsuntos!I17/NºAsuntos!G17),(NºAsuntos!I17/NºAsuntos!G17)*11," - ")</f>
        <v>0.60209102091020916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1308</v>
      </c>
      <c r="D18" s="1052">
        <f>SUBTOTAL(9,D15:D17)</f>
        <v>1375</v>
      </c>
      <c r="E18" s="1053">
        <f>SUBTOTAL(9,E15:E17)</f>
        <v>12223</v>
      </c>
      <c r="F18" s="1053">
        <f>SUBTOTAL(9,F15:F17)</f>
        <v>11881</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1345</v>
      </c>
      <c r="D19" s="1074">
        <f>SUBTOTAL(9,D9:D18)</f>
        <v>1412</v>
      </c>
      <c r="E19" s="1075">
        <f>SUBTOTAL(9,E9:E18)</f>
        <v>12377</v>
      </c>
      <c r="F19" s="1075">
        <f>SUBTOTAL(9,F9:F18)</f>
        <v>12020</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PIEddbJ/iTEY2IEE0g8xDiauoy61jEhMFKmi46HzE44GKZvISLuuPi2D5cTYaHOmj8V+q/riYQUAVLijo8c+g==" saltValue="dAgH4ljcap4Q8nT1YzKB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iRd2wGRU0oGFT13SvfAmHF/uY4T/y6jx9NSkzcJmHiCwOI8VAN95UiMrB275WVclDbWVXa32QMMZyzUn4Pdzw==" saltValue="+Jeayp5MA5Iy4ipq+8Lj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9891</v>
      </c>
      <c r="J9" s="184">
        <v>12785</v>
      </c>
      <c r="K9" s="184">
        <v>14069</v>
      </c>
      <c r="L9" s="184">
        <v>8905</v>
      </c>
      <c r="M9" s="184">
        <v>6173</v>
      </c>
      <c r="N9" s="184">
        <v>4315</v>
      </c>
      <c r="O9" s="184">
        <v>5494</v>
      </c>
      <c r="P9" s="184">
        <v>2541</v>
      </c>
      <c r="Q9" s="184">
        <v>4944</v>
      </c>
      <c r="R9" s="184">
        <v>9034</v>
      </c>
      <c r="S9" s="184">
        <v>9645</v>
      </c>
      <c r="T9" s="184">
        <v>15657</v>
      </c>
      <c r="U9" s="184">
        <v>15455</v>
      </c>
      <c r="V9" s="184">
        <v>9891</v>
      </c>
      <c r="W9" s="184">
        <v>5449</v>
      </c>
      <c r="X9" s="191">
        <v>5012</v>
      </c>
      <c r="Y9" s="194">
        <v>151</v>
      </c>
      <c r="Z9" s="184">
        <v>946</v>
      </c>
      <c r="AA9" s="184">
        <v>719</v>
      </c>
      <c r="AB9" s="184">
        <v>381</v>
      </c>
      <c r="AC9" s="184">
        <v>0</v>
      </c>
      <c r="AD9" s="184">
        <v>0</v>
      </c>
      <c r="AE9" s="184">
        <v>0</v>
      </c>
      <c r="AF9" s="191">
        <v>0</v>
      </c>
      <c r="AG9" s="194">
        <v>169</v>
      </c>
      <c r="AH9" s="184">
        <v>1253</v>
      </c>
      <c r="AI9" s="184">
        <v>1266</v>
      </c>
      <c r="AJ9" s="195">
        <v>151</v>
      </c>
      <c r="AK9" s="183">
        <v>0</v>
      </c>
      <c r="AL9" s="184">
        <v>0</v>
      </c>
      <c r="AM9" s="184">
        <v>0</v>
      </c>
      <c r="AN9" s="191">
        <v>0</v>
      </c>
      <c r="AO9" s="261">
        <v>10</v>
      </c>
      <c r="AP9" s="157">
        <v>10</v>
      </c>
      <c r="AQ9" s="157">
        <v>10</v>
      </c>
      <c r="AR9" s="196">
        <v>10</v>
      </c>
      <c r="AS9" s="341" t="s">
        <v>800</v>
      </c>
      <c r="AT9" s="198"/>
      <c r="AU9" s="197"/>
      <c r="AV9" s="198"/>
      <c r="AW9" s="197"/>
      <c r="AX9" s="198"/>
      <c r="AY9" s="123">
        <f>IF(ISNUMBER(IF(J_V="SI",S9,S9+AG9)),IF(J_V="SI",S9,S9+AG9)," - ")</f>
        <v>9814</v>
      </c>
      <c r="AZ9" s="123">
        <f>IF(ISNUMBER(IF(J_V="SI",T9,T9+AH9)),IF(J_V="SI",T9,T9+AH9)," - ")</f>
        <v>16910</v>
      </c>
      <c r="BA9" s="124">
        <f>IF(ISNUMBER(IF(J_V="SI",U9,U9+AI9)),IF(J_V="SI",U9,U9+AI9)," - ")</f>
        <v>16721</v>
      </c>
      <c r="BB9" s="124">
        <f>IF(ISNUMBER(IF(J_V="SI",V9,V9+AJ9)),IF(J_V="SI",V9,V9+AJ9)," - ")</f>
        <v>10042</v>
      </c>
      <c r="BC9" s="125">
        <f>IF(ISNUMBER(X9),X9," - ")</f>
        <v>5012</v>
      </c>
      <c r="BD9" s="126">
        <f>IF(ISNUMBER(BA9/AZ9),BA9/AZ9," - ")</f>
        <v>0.98882318154937909</v>
      </c>
      <c r="BE9" s="127">
        <f>IF(ISNUMBER(BB9/BA9),BB9/BA9, " - ")</f>
        <v>0.60056216733448953</v>
      </c>
      <c r="BF9" s="127">
        <f>IF(ISNUMBER(BC9/BA9),BC9/BA9, " - ")</f>
        <v>0.29974283834698884</v>
      </c>
      <c r="BG9" s="199">
        <f>IF(ISNUMBER((AY9+AZ9)/BA9),(AY9+AZ9)/BA9," - ")</f>
        <v>1.5982297709467137</v>
      </c>
      <c r="BH9" s="157">
        <v>10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37</v>
      </c>
      <c r="J10" s="184">
        <v>154</v>
      </c>
      <c r="K10" s="184">
        <v>139</v>
      </c>
      <c r="L10" s="184">
        <v>52</v>
      </c>
      <c r="M10" s="184">
        <v>54</v>
      </c>
      <c r="N10" s="184">
        <v>50</v>
      </c>
      <c r="O10" s="184">
        <v>40</v>
      </c>
      <c r="P10" s="184">
        <v>46</v>
      </c>
      <c r="Q10" s="184">
        <v>27</v>
      </c>
      <c r="R10" s="184">
        <v>91</v>
      </c>
      <c r="S10" s="184">
        <v>41</v>
      </c>
      <c r="T10" s="184">
        <v>113</v>
      </c>
      <c r="U10" s="184">
        <v>117</v>
      </c>
      <c r="V10" s="184">
        <v>37</v>
      </c>
      <c r="W10" s="184">
        <v>51</v>
      </c>
      <c r="X10" s="191">
        <v>33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41</v>
      </c>
      <c r="AZ10" s="129">
        <f t="shared" si="0"/>
        <v>113</v>
      </c>
      <c r="BA10" s="129">
        <f t="shared" si="0"/>
        <v>117</v>
      </c>
      <c r="BB10" s="129">
        <f t="shared" si="0"/>
        <v>37</v>
      </c>
      <c r="BC10" s="125">
        <f t="shared" si="0"/>
        <v>51</v>
      </c>
      <c r="BD10" s="126">
        <f>IF(ISNUMBER(BA10/AZ10),BA10/AZ10," - ")</f>
        <v>1.0353982300884956</v>
      </c>
      <c r="BE10" s="127">
        <f>IF(ISNUMBER(BB10/BA10),BB10/BA10, " - ")</f>
        <v>0.31623931623931623</v>
      </c>
      <c r="BF10" s="127">
        <f>IF(ISNUMBER(BC10/BA10),BC10/BA10, " - ")</f>
        <v>0.4358974358974359</v>
      </c>
      <c r="BG10" s="199">
        <f>IF(ISNUMBER((AY10+AZ10)/BA10),(AY10+AZ10)/BA10," - ")</f>
        <v>1.3162393162393162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990</v>
      </c>
      <c r="J11" s="186">
        <v>1372</v>
      </c>
      <c r="K11" s="186">
        <v>1339</v>
      </c>
      <c r="L11" s="186">
        <v>807</v>
      </c>
      <c r="M11" s="186">
        <v>536</v>
      </c>
      <c r="N11" s="186">
        <v>1338</v>
      </c>
      <c r="O11" s="184">
        <v>658</v>
      </c>
      <c r="P11" s="186">
        <v>228</v>
      </c>
      <c r="Q11" s="186">
        <v>280</v>
      </c>
      <c r="R11" s="186">
        <v>712</v>
      </c>
      <c r="S11" s="186">
        <v>991</v>
      </c>
      <c r="T11" s="186">
        <v>1540</v>
      </c>
      <c r="U11" s="186">
        <v>1595</v>
      </c>
      <c r="V11" s="186">
        <v>990</v>
      </c>
      <c r="W11" s="186">
        <v>670</v>
      </c>
      <c r="X11" s="192">
        <v>1419</v>
      </c>
      <c r="Y11" s="194">
        <v>188</v>
      </c>
      <c r="Z11" s="184">
        <v>925</v>
      </c>
      <c r="AA11" s="184">
        <v>924</v>
      </c>
      <c r="AB11" s="184">
        <v>189</v>
      </c>
      <c r="AC11" s="186">
        <v>0</v>
      </c>
      <c r="AD11" s="186">
        <v>0</v>
      </c>
      <c r="AE11" s="186">
        <v>0</v>
      </c>
      <c r="AF11" s="192">
        <v>0</v>
      </c>
      <c r="AG11" s="205">
        <v>260</v>
      </c>
      <c r="AH11" s="186">
        <v>1049</v>
      </c>
      <c r="AI11" s="186">
        <v>1121</v>
      </c>
      <c r="AJ11" s="206">
        <v>188</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1251</v>
      </c>
      <c r="AZ11" s="127">
        <f t="shared" si="1"/>
        <v>2589</v>
      </c>
      <c r="BA11" s="127">
        <f t="shared" si="1"/>
        <v>2716</v>
      </c>
      <c r="BB11" s="127">
        <f t="shared" si="1"/>
        <v>1178</v>
      </c>
      <c r="BC11" s="125">
        <f>IF(ISNUMBER(X11),X11," - ")</f>
        <v>1419</v>
      </c>
      <c r="BD11" s="126">
        <f t="shared" ref="BD11:BD12" si="2">IF(ISNUMBER(BA11/AZ11),BA11/AZ11," - ")</f>
        <v>1.0490536886828892</v>
      </c>
      <c r="BE11" s="127">
        <f t="shared" ref="BE11:BE12" si="3">IF(ISNUMBER(BB11/BA11),BB11/BA11, " - ")</f>
        <v>0.43372606774668632</v>
      </c>
      <c r="BF11" s="127">
        <f t="shared" ref="BF11:BF12" si="4">IF(ISNUMBER(BC11/BA11),BC11/BA11, " - ")</f>
        <v>0.52245949926362301</v>
      </c>
      <c r="BG11" s="199">
        <f t="shared" ref="BG11:BG12" si="5">IF(ISNUMBER((AY11+AZ11)/BA11),(AY11+AZ11)/BA11," - ")</f>
        <v>1.4138438880706923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10918</v>
      </c>
      <c r="J13" s="187">
        <f t="shared" si="6"/>
        <v>14311</v>
      </c>
      <c r="K13" s="187">
        <f t="shared" si="6"/>
        <v>15547</v>
      </c>
      <c r="L13" s="187">
        <f t="shared" si="6"/>
        <v>9764</v>
      </c>
      <c r="M13" s="187">
        <f t="shared" si="6"/>
        <v>6763</v>
      </c>
      <c r="N13" s="187">
        <f t="shared" si="6"/>
        <v>5703</v>
      </c>
      <c r="O13" s="187">
        <f t="shared" si="6"/>
        <v>6192</v>
      </c>
      <c r="P13" s="187">
        <f t="shared" si="6"/>
        <v>2815</v>
      </c>
      <c r="Q13" s="187">
        <f t="shared" si="6"/>
        <v>5251</v>
      </c>
      <c r="R13" s="187">
        <f t="shared" si="6"/>
        <v>9837</v>
      </c>
      <c r="S13" s="187">
        <f t="shared" si="6"/>
        <v>10677</v>
      </c>
      <c r="T13" s="187">
        <f t="shared" si="6"/>
        <v>17310</v>
      </c>
      <c r="U13" s="187">
        <f t="shared" si="6"/>
        <v>17167</v>
      </c>
      <c r="V13" s="187">
        <f t="shared" si="6"/>
        <v>10918</v>
      </c>
      <c r="W13" s="187">
        <f t="shared" si="6"/>
        <v>6170</v>
      </c>
      <c r="X13" s="187">
        <f t="shared" si="6"/>
        <v>6464</v>
      </c>
      <c r="Y13" s="187">
        <f t="shared" si="6"/>
        <v>339</v>
      </c>
      <c r="Z13" s="187">
        <f t="shared" si="6"/>
        <v>1871</v>
      </c>
      <c r="AA13" s="187">
        <f t="shared" si="6"/>
        <v>1643</v>
      </c>
      <c r="AB13" s="187">
        <f t="shared" si="6"/>
        <v>570</v>
      </c>
      <c r="AC13" s="187">
        <f t="shared" si="6"/>
        <v>0</v>
      </c>
      <c r="AD13" s="187">
        <f t="shared" si="6"/>
        <v>0</v>
      </c>
      <c r="AE13" s="187">
        <f t="shared" si="6"/>
        <v>0</v>
      </c>
      <c r="AF13" s="187">
        <f>SUBTOTAL(9,AF9:AF12)</f>
        <v>0</v>
      </c>
      <c r="AG13" s="187">
        <f t="shared" ref="AG13:AT13" si="7">SUBTOTAL(9,AG8:AG12)</f>
        <v>429</v>
      </c>
      <c r="AH13" s="187">
        <f t="shared" si="7"/>
        <v>2302</v>
      </c>
      <c r="AI13" s="187">
        <f t="shared" si="7"/>
        <v>2387</v>
      </c>
      <c r="AJ13" s="187">
        <f t="shared" si="7"/>
        <v>339</v>
      </c>
      <c r="AK13" s="187">
        <f t="shared" si="7"/>
        <v>0</v>
      </c>
      <c r="AL13" s="187">
        <f t="shared" si="7"/>
        <v>0</v>
      </c>
      <c r="AM13" s="187">
        <f t="shared" si="7"/>
        <v>0</v>
      </c>
      <c r="AN13" s="187">
        <f t="shared" si="7"/>
        <v>0</v>
      </c>
      <c r="AO13" s="187">
        <f t="shared" si="7"/>
        <v>13</v>
      </c>
      <c r="AP13" s="187">
        <f t="shared" si="7"/>
        <v>13</v>
      </c>
      <c r="AQ13" s="187">
        <f t="shared" si="7"/>
        <v>13</v>
      </c>
      <c r="AR13" s="187">
        <f t="shared" si="7"/>
        <v>13</v>
      </c>
      <c r="AS13" s="187">
        <f t="shared" si="7"/>
        <v>0</v>
      </c>
      <c r="AT13" s="187">
        <f t="shared" si="7"/>
        <v>0</v>
      </c>
      <c r="AU13" s="207"/>
      <c r="AV13" s="132"/>
      <c r="AW13" s="207"/>
      <c r="AX13" s="132"/>
      <c r="AY13" s="187">
        <f>SUBTOTAL(9,AY8:AY12)</f>
        <v>11106</v>
      </c>
      <c r="AZ13" s="187">
        <f>SUBTOTAL(9,AZ8:AZ12)</f>
        <v>19612</v>
      </c>
      <c r="BA13" s="187">
        <f>SUBTOTAL(9,BA8:BA12)</f>
        <v>19554</v>
      </c>
      <c r="BB13" s="187">
        <f>SUBTOTAL(9,BB8:BB12)</f>
        <v>11257</v>
      </c>
      <c r="BC13" s="187">
        <f>SUBTOTAL(9,BC8:BC12)</f>
        <v>6482</v>
      </c>
      <c r="BD13" s="208">
        <f>IF(ISNUMBER(BA13/AZ13),BA13/AZ13," - ")</f>
        <v>0.99704262696308388</v>
      </c>
      <c r="BE13" s="209">
        <f>IF(ISNUMBER(BB13/BA13),BB13/BA13, " - ")</f>
        <v>0.57568783880535956</v>
      </c>
      <c r="BF13" s="209">
        <f>IF(ISNUMBER(BC13/BA13),BC13/BA13, " - ")</f>
        <v>0.3314922777948246</v>
      </c>
      <c r="BG13" s="210">
        <f>IF(ISNUMBER((AY13+AZ13)/BA13),(AY13+AZ13)/BA13," - ")</f>
        <v>1.5709317786642119</v>
      </c>
      <c r="BH13" s="143">
        <f>SUBTOTAL(9,BH8:BH12)</f>
        <v>13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1305</v>
      </c>
      <c r="J15" s="186">
        <v>10588</v>
      </c>
      <c r="K15" s="186">
        <v>10255</v>
      </c>
      <c r="L15" s="186">
        <v>1561</v>
      </c>
      <c r="M15" s="186">
        <v>2513</v>
      </c>
      <c r="N15" s="186">
        <v>5094</v>
      </c>
      <c r="O15" s="184">
        <v>654</v>
      </c>
      <c r="P15" s="186">
        <v>982</v>
      </c>
      <c r="Q15" s="186">
        <v>1115</v>
      </c>
      <c r="R15" s="186">
        <v>480</v>
      </c>
      <c r="S15" s="186">
        <v>1156</v>
      </c>
      <c r="T15" s="186">
        <v>10116</v>
      </c>
      <c r="U15" s="186">
        <v>10016</v>
      </c>
      <c r="V15" s="186">
        <v>1305</v>
      </c>
      <c r="W15" s="186">
        <v>2494</v>
      </c>
      <c r="X15" s="192">
        <v>5437</v>
      </c>
      <c r="Y15" s="205">
        <v>0</v>
      </c>
      <c r="Z15" s="186">
        <v>0</v>
      </c>
      <c r="AA15" s="186">
        <v>0</v>
      </c>
      <c r="AB15" s="186">
        <v>0</v>
      </c>
      <c r="AC15" s="186">
        <v>3</v>
      </c>
      <c r="AD15" s="186">
        <v>152</v>
      </c>
      <c r="AE15" s="186">
        <v>151</v>
      </c>
      <c r="AF15" s="192">
        <v>4</v>
      </c>
      <c r="AG15" s="205">
        <v>0</v>
      </c>
      <c r="AH15" s="186">
        <v>0</v>
      </c>
      <c r="AI15" s="186">
        <v>0</v>
      </c>
      <c r="AJ15" s="206">
        <v>0</v>
      </c>
      <c r="AK15" s="185">
        <v>4</v>
      </c>
      <c r="AL15" s="186">
        <v>141</v>
      </c>
      <c r="AM15" s="186">
        <v>142</v>
      </c>
      <c r="AN15" s="192">
        <v>3</v>
      </c>
      <c r="AO15" s="262">
        <v>5</v>
      </c>
      <c r="AP15" s="158">
        <v>5</v>
      </c>
      <c r="AQ15" s="158">
        <v>5</v>
      </c>
      <c r="AR15" s="158">
        <v>5</v>
      </c>
      <c r="AS15" s="343" t="s">
        <v>527</v>
      </c>
      <c r="AT15" s="206" t="s">
        <v>326</v>
      </c>
      <c r="AU15" s="205"/>
      <c r="AV15" s="206"/>
      <c r="AW15" s="205"/>
      <c r="AX15" s="206"/>
      <c r="AY15" s="128">
        <f t="shared" ref="AY15:BB16" si="9">IF(ISNUMBER(IF(D_I="SI",S15,S15+AK15)),IF(D_I="SI",S15,S15+AK15)," - ")</f>
        <v>1156</v>
      </c>
      <c r="AZ15" s="129">
        <f t="shared" si="9"/>
        <v>10116</v>
      </c>
      <c r="BA15" s="129">
        <f t="shared" si="9"/>
        <v>10016</v>
      </c>
      <c r="BB15" s="129">
        <f t="shared" si="9"/>
        <v>1305</v>
      </c>
      <c r="BC15" s="125">
        <f>IF(ISNUMBER(W15),W15," - ")</f>
        <v>2494</v>
      </c>
      <c r="BD15" s="126">
        <f>IF(ISNUMBER(BA15/AZ15),BA15/AZ15," - ")</f>
        <v>0.99011466982997232</v>
      </c>
      <c r="BE15" s="127">
        <f>IF(ISNUMBER(BB15/BA15),BB15/BA15, " - ")</f>
        <v>0.13029153354632589</v>
      </c>
      <c r="BF15" s="127">
        <f>IF(ISNUMBER(BC15/BA15),BC15/BA15, " - ")</f>
        <v>0.24900159744408945</v>
      </c>
      <c r="BG15" s="199">
        <f t="shared" ref="BG15:BG16" si="10">IF(ISNUMBER((AY15+AZ15)/BA15),(AY15+AZ15)/BA15," - ")</f>
        <v>1.1253993610223643</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70</v>
      </c>
      <c r="J17" s="186">
        <v>1635</v>
      </c>
      <c r="K17" s="186">
        <v>1626</v>
      </c>
      <c r="L17" s="186">
        <v>89</v>
      </c>
      <c r="M17" s="186">
        <v>174</v>
      </c>
      <c r="N17" s="186">
        <v>794</v>
      </c>
      <c r="O17" s="186">
        <v>13</v>
      </c>
      <c r="P17" s="186">
        <v>21</v>
      </c>
      <c r="Q17" s="186">
        <v>21</v>
      </c>
      <c r="R17" s="186">
        <v>9</v>
      </c>
      <c r="S17" s="186">
        <v>79</v>
      </c>
      <c r="T17" s="186">
        <v>1432</v>
      </c>
      <c r="U17" s="186">
        <v>1450</v>
      </c>
      <c r="V17" s="186">
        <v>70</v>
      </c>
      <c r="W17" s="186">
        <v>165</v>
      </c>
      <c r="X17" s="192">
        <v>774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79</v>
      </c>
      <c r="AZ17" s="129">
        <f t="shared" si="14"/>
        <v>1432</v>
      </c>
      <c r="BA17" s="129">
        <f t="shared" si="14"/>
        <v>1450</v>
      </c>
      <c r="BB17" s="129">
        <f t="shared" si="14"/>
        <v>70</v>
      </c>
      <c r="BC17" s="125">
        <f>IF(ISNUMBER(W17),W17," - ")</f>
        <v>165</v>
      </c>
      <c r="BD17" s="126">
        <f>IF(ISNUMBER(BA17/AZ17),BA17/AZ17," - ")</f>
        <v>1.0125698324022345</v>
      </c>
      <c r="BE17" s="127">
        <f>IF(ISNUMBER(BB17/BA17),BB17/BA17, " - ")</f>
        <v>4.8275862068965517E-2</v>
      </c>
      <c r="BF17" s="127">
        <f>IF(ISNUMBER(BC17/BA17),BC17/BA17, " - ")</f>
        <v>0.11379310344827587</v>
      </c>
      <c r="BG17" s="199">
        <f>IF(ISNUMBER((AY17+AZ17)/BA17),(AY17+AZ17)/BA17," - ")</f>
        <v>1.0420689655172415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1375</v>
      </c>
      <c r="J18" s="187">
        <f t="shared" si="15"/>
        <v>12223</v>
      </c>
      <c r="K18" s="187">
        <f t="shared" si="15"/>
        <v>11881</v>
      </c>
      <c r="L18" s="187">
        <f t="shared" si="15"/>
        <v>1650</v>
      </c>
      <c r="M18" s="187">
        <f t="shared" si="15"/>
        <v>2687</v>
      </c>
      <c r="N18" s="187">
        <f t="shared" si="15"/>
        <v>5888</v>
      </c>
      <c r="O18" s="187">
        <f t="shared" si="15"/>
        <v>667</v>
      </c>
      <c r="P18" s="187">
        <f t="shared" si="15"/>
        <v>1003</v>
      </c>
      <c r="Q18" s="187">
        <f t="shared" si="15"/>
        <v>1136</v>
      </c>
      <c r="R18" s="187">
        <f t="shared" si="15"/>
        <v>489</v>
      </c>
      <c r="S18" s="187">
        <f t="shared" si="15"/>
        <v>1235</v>
      </c>
      <c r="T18" s="187">
        <f t="shared" si="15"/>
        <v>11548</v>
      </c>
      <c r="U18" s="187">
        <f t="shared" si="15"/>
        <v>11466</v>
      </c>
      <c r="V18" s="187">
        <f t="shared" si="15"/>
        <v>1375</v>
      </c>
      <c r="W18" s="187">
        <f t="shared" si="15"/>
        <v>2659</v>
      </c>
      <c r="X18" s="187">
        <f t="shared" si="15"/>
        <v>6211</v>
      </c>
      <c r="Y18" s="187">
        <f t="shared" si="15"/>
        <v>0</v>
      </c>
      <c r="Z18" s="187">
        <f t="shared" si="15"/>
        <v>0</v>
      </c>
      <c r="AA18" s="187">
        <f t="shared" si="15"/>
        <v>0</v>
      </c>
      <c r="AB18" s="187">
        <f t="shared" si="15"/>
        <v>0</v>
      </c>
      <c r="AC18" s="187">
        <f t="shared" si="15"/>
        <v>3</v>
      </c>
      <c r="AD18" s="187">
        <f t="shared" si="15"/>
        <v>152</v>
      </c>
      <c r="AE18" s="187">
        <f t="shared" si="15"/>
        <v>151</v>
      </c>
      <c r="AF18" s="187">
        <f t="shared" si="15"/>
        <v>4</v>
      </c>
      <c r="AG18" s="187">
        <f t="shared" si="15"/>
        <v>0</v>
      </c>
      <c r="AH18" s="187">
        <f t="shared" si="15"/>
        <v>0</v>
      </c>
      <c r="AI18" s="187">
        <f t="shared" si="15"/>
        <v>0</v>
      </c>
      <c r="AJ18" s="187">
        <f t="shared" si="15"/>
        <v>0</v>
      </c>
      <c r="AK18" s="187">
        <f t="shared" si="15"/>
        <v>4</v>
      </c>
      <c r="AL18" s="187">
        <f t="shared" si="15"/>
        <v>141</v>
      </c>
      <c r="AM18" s="187">
        <f t="shared" si="15"/>
        <v>142</v>
      </c>
      <c r="AN18" s="187">
        <f t="shared" si="15"/>
        <v>3</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1235</v>
      </c>
      <c r="AZ18" s="187">
        <f>SUBTOTAL(9,AZ14:AZ17)</f>
        <v>11548</v>
      </c>
      <c r="BA18" s="187">
        <f>SUBTOTAL(9,BA14:BA17)</f>
        <v>11466</v>
      </c>
      <c r="BB18" s="187">
        <f>SUBTOTAL(9,BB14:BB17)</f>
        <v>1375</v>
      </c>
      <c r="BC18" s="187">
        <f>SUBTOTAL(9,BC14:BC17)</f>
        <v>2659</v>
      </c>
      <c r="BD18" s="208">
        <f>IF(ISNUMBER(BA18/AZ18),BA18/AZ18," - ")</f>
        <v>0.99289920332525117</v>
      </c>
      <c r="BE18" s="209">
        <f>IF(ISNUMBER(BB18/BA18),BB18/BA18, " - ")</f>
        <v>0.11991976277690564</v>
      </c>
      <c r="BF18" s="209">
        <f>IF(ISNUMBER(BC18/BA18),BC18/BA18, " - ")</f>
        <v>0.23190301761730334</v>
      </c>
      <c r="BG18" s="210">
        <f>IF(ISNUMBER((AY18+AZ18)/BA18),(AY18+AZ18)/BA18," - ")</f>
        <v>1.1148613291470435</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12293</v>
      </c>
      <c r="J19" s="134">
        <f t="shared" si="18"/>
        <v>26534</v>
      </c>
      <c r="K19" s="134">
        <f t="shared" si="18"/>
        <v>27428</v>
      </c>
      <c r="L19" s="134">
        <f t="shared" si="18"/>
        <v>11414</v>
      </c>
      <c r="M19" s="134">
        <f t="shared" si="18"/>
        <v>9450</v>
      </c>
      <c r="N19" s="134">
        <f t="shared" si="18"/>
        <v>11591</v>
      </c>
      <c r="O19" s="134">
        <f t="shared" si="18"/>
        <v>6859</v>
      </c>
      <c r="P19" s="134">
        <f t="shared" si="18"/>
        <v>3818</v>
      </c>
      <c r="Q19" s="134">
        <f t="shared" si="18"/>
        <v>6387</v>
      </c>
      <c r="R19" s="134">
        <f t="shared" si="18"/>
        <v>10326</v>
      </c>
      <c r="S19" s="134">
        <f t="shared" si="18"/>
        <v>11912</v>
      </c>
      <c r="T19" s="134">
        <f t="shared" si="18"/>
        <v>28858</v>
      </c>
      <c r="U19" s="134">
        <f t="shared" si="18"/>
        <v>28633</v>
      </c>
      <c r="V19" s="134">
        <f t="shared" si="18"/>
        <v>12293</v>
      </c>
      <c r="W19" s="134">
        <f t="shared" si="18"/>
        <v>8829</v>
      </c>
      <c r="X19" s="134">
        <f t="shared" si="18"/>
        <v>12675</v>
      </c>
      <c r="Y19" s="134">
        <f t="shared" si="18"/>
        <v>339</v>
      </c>
      <c r="Z19" s="134">
        <f t="shared" si="18"/>
        <v>1871</v>
      </c>
      <c r="AA19" s="134">
        <f t="shared" si="18"/>
        <v>1643</v>
      </c>
      <c r="AB19" s="134">
        <f t="shared" si="18"/>
        <v>570</v>
      </c>
      <c r="AC19" s="134">
        <f t="shared" si="18"/>
        <v>3</v>
      </c>
      <c r="AD19" s="134">
        <f t="shared" si="18"/>
        <v>152</v>
      </c>
      <c r="AE19" s="134">
        <f t="shared" si="18"/>
        <v>151</v>
      </c>
      <c r="AF19" s="134">
        <f t="shared" si="18"/>
        <v>4</v>
      </c>
      <c r="AG19" s="134">
        <f t="shared" si="18"/>
        <v>429</v>
      </c>
      <c r="AH19" s="134">
        <f t="shared" si="18"/>
        <v>2302</v>
      </c>
      <c r="AI19" s="134">
        <f t="shared" si="18"/>
        <v>2387</v>
      </c>
      <c r="AJ19" s="134">
        <f t="shared" si="18"/>
        <v>339</v>
      </c>
      <c r="AK19" s="134">
        <f t="shared" si="18"/>
        <v>4</v>
      </c>
      <c r="AL19" s="134">
        <f t="shared" si="18"/>
        <v>141</v>
      </c>
      <c r="AM19" s="134">
        <f t="shared" si="18"/>
        <v>142</v>
      </c>
      <c r="AN19" s="213">
        <f t="shared" si="18"/>
        <v>3</v>
      </c>
      <c r="AO19" s="214">
        <v>18</v>
      </c>
      <c r="AP19" s="214">
        <v>18</v>
      </c>
      <c r="AQ19" s="214">
        <v>18</v>
      </c>
      <c r="AR19" s="214">
        <v>18</v>
      </c>
      <c r="AS19" s="156">
        <f t="shared" si="18"/>
        <v>0</v>
      </c>
      <c r="AT19" s="156">
        <f t="shared" si="18"/>
        <v>0</v>
      </c>
      <c r="AU19" s="214"/>
      <c r="AV19" s="215"/>
      <c r="AW19" s="214"/>
      <c r="AX19" s="215"/>
      <c r="AY19" s="133">
        <f>SUBTOTAL(9,AY9:AY18)</f>
        <v>12341</v>
      </c>
      <c r="AZ19" s="134">
        <f>SUBTOTAL(9,AZ9:AZ18)</f>
        <v>31160</v>
      </c>
      <c r="BA19" s="134">
        <f>SUBTOTAL(9,BA9:BA18)</f>
        <v>31020</v>
      </c>
      <c r="BB19" s="134">
        <f>SUBTOTAL(9,BB9:BB18)</f>
        <v>12632</v>
      </c>
      <c r="BC19" s="135">
        <f>SUBTOTAL(9,BC9:BC18)</f>
        <v>9141</v>
      </c>
      <c r="BD19" s="216">
        <f>IF(ISNUMBER(BA19/AZ19),BA19/AZ19," - ")</f>
        <v>0.99550706033376124</v>
      </c>
      <c r="BE19" s="213">
        <f>IF(ISNUMBER(BB19/BA19),BB19/BA19, " - ")</f>
        <v>0.40722114764667955</v>
      </c>
      <c r="BF19" s="213">
        <f>IF(ISNUMBER(BC19/BA19),BC19/BA19, " - ")</f>
        <v>0.2946808510638298</v>
      </c>
      <c r="BG19" s="135">
        <f>IF(ISNUMBER((AY19+AZ19)/BA19),(AY19+AZ19)/BA19," - ")</f>
        <v>1.4023533204384269</v>
      </c>
      <c r="BH19" s="214">
        <f>SUBTOTAL(9,BH9:BH18)</f>
        <v>19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SnwpI0j3ejqcTOJqD1MPCYV7qNc3tEMkZic/Yw5wx8Qgmv4QOLjv5Ryry1/oKb9l+ZozgGPRTu38x/f9JWuWw==" saltValue="EN4THzY6THq4ZNYzbmS2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Aj1G2GWF2BzJ444bm5U1A98Vl1HG4NTu7iwqBR3dZj4NvpMUaIR/Kc/d25EP5vPxJ9f2SPEUhKdTnqHNn4EMQ==" saltValue="7zuijzlhAnq9ROjdmYgi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SANTANDER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10</v>
      </c>
      <c r="B9" s="504" t="s">
        <v>246</v>
      </c>
      <c r="C9" s="163" t="str">
        <f>Datos!A9</f>
        <v xml:space="preserve">Jdos. 1ª Instancia   </v>
      </c>
      <c r="D9" s="505"/>
      <c r="E9" s="263">
        <f>IF(ISNUMBER(Datos!AQ9),Datos!AQ9," - ")</f>
        <v>10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946</v>
      </c>
      <c r="O9" s="337"/>
      <c r="P9" s="337"/>
      <c r="Q9" s="229">
        <f>IF(ISNUMBER(Datos!P9),Datos!P9,0)</f>
        <v>2541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4944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381</v>
      </c>
      <c r="AI9" s="337" t="str">
        <f>IF(ISNUMBER(Datos!CD9),Datos!CD9,"-")</f>
        <v>-</v>
      </c>
      <c r="AJ9" s="337" t="str">
        <f>IF(ISNUMBER(Datos!EN9),Datos!EN9," - ")</f>
        <v xml:space="preserve"> - </v>
      </c>
      <c r="AK9" s="337"/>
      <c r="AL9" s="482"/>
      <c r="AM9" s="338">
        <f>IF(ISNUMBER(Datos!R9),Datos!R9," - ")</f>
        <v>9034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6173</v>
      </c>
      <c r="BD9" s="232">
        <f>IF(ISNUMBER(Datos!N9),Datos!N9," - ")</f>
        <v>4315</v>
      </c>
      <c r="BE9" s="232" t="str">
        <f>IF(ISNUMBER(Datos!BW9),Datos!BW9," - ")</f>
        <v xml:space="preserve"> - </v>
      </c>
      <c r="BF9" s="231" t="str">
        <f>IF(ISNUMBER(Datos!BX9),Datos!BX9," - ")</f>
        <v xml:space="preserve"> - </v>
      </c>
      <c r="BG9" s="246">
        <f>IF(ISNUMBER(IF(J_V="SI",Datos!K9/Datos!J9,(Datos!K9+Datos!AA9)/(Datos!J9+Datos!Z9))),IF(J_V="SI",Datos!K9/Datos!J9,(Datos!K9+Datos!AA9)/(Datos!J9+Datos!Z9))," - ")</f>
        <v>1.0769790983905032</v>
      </c>
      <c r="BH9" s="263">
        <f>IF(ISNUMBER(((IF(J_V="SI",Datos!L9/Datos!K9,(Datos!L9+Datos!AB9)/(Datos!K9+Datos!AA9)))*11)/factor_trimestre),((IF(J_V="SI",Datos!L9/Datos!K9,(Datos!L9+Datos!AB9)/(Datos!K9+Datos!AA9)))*11)/factor_trimestre," - ")</f>
        <v>6.9073573167433047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-0.21010754568505727</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37</v>
      </c>
      <c r="G10" s="336">
        <f>IF(ISNUMBER(Datos!I10),Datos!I10," - ")</f>
        <v>37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139</v>
      </c>
      <c r="AC10" s="229">
        <f>IF(ISNUMBER(Datos!Q10),Datos!Q10," - ")</f>
        <v>27</v>
      </c>
      <c r="AD10" s="337"/>
      <c r="AE10" s="487"/>
      <c r="AF10" s="335">
        <f>IF(ISNUMBER(Datos!L10),Datos!L10,"-")</f>
        <v>52</v>
      </c>
      <c r="AG10" s="337"/>
      <c r="AH10" s="337"/>
      <c r="AI10" s="337"/>
      <c r="AJ10" s="337"/>
      <c r="AK10" s="337"/>
      <c r="AL10" s="482"/>
      <c r="AM10" s="338">
        <f>IF(ISNUMBER(Datos!R10),Datos!R10," - ")</f>
        <v>91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54</v>
      </c>
      <c r="BD10" s="232">
        <f>IF(ISNUMBER(Datos!N10),Datos!N10," - ")</f>
        <v>50</v>
      </c>
      <c r="BE10" s="232" t="str">
        <f>IF(ISNUMBER(Datos!BW10),Datos!BW10," - ")</f>
        <v xml:space="preserve"> - </v>
      </c>
      <c r="BF10" s="231" t="str">
        <f>IF(ISNUMBER(Datos!BX10),Datos!BX10," - ")</f>
        <v xml:space="preserve"> - </v>
      </c>
      <c r="BG10" s="246">
        <f>IF(ISNUMBER(Datos!K10/Datos!J10),Datos!K10/Datos!J10," - ")</f>
        <v>0.90259740259740262</v>
      </c>
      <c r="BH10" s="263">
        <f>IF(ISNUMBER(((Datos!L10/Datos!K10)*11)/factor_trimestre),((Datos!L10/Datos!K10)*11)/factor_trimestre," - ")</f>
        <v>4.1151079136690649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0.2638888888888889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925</v>
      </c>
      <c r="O11" s="337"/>
      <c r="P11" s="337"/>
      <c r="Q11" s="229">
        <f>IF(ISNUMBER(Datos!P11),Datos!P11,0)</f>
        <v>228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280</v>
      </c>
      <c r="AD11" s="337"/>
      <c r="AE11" s="487"/>
      <c r="AF11" s="335" t="str">
        <f>IF(ISNUMBER(IF(J_V="SI",Datos!L11,Datos!L11+Datos!AB11)-IF(Monitorios="SI",Datos!CD11,0)),
                          IF(J_V="SI",Datos!L11,Datos!L11+Datos!AB11)-IF(Monitorios="SI",Datos!CD11,0),
                          " - ")</f>
        <v xml:space="preserve"> - </v>
      </c>
      <c r="AG11" s="337"/>
      <c r="AH11" s="337">
        <f>IF(ISNUMBER(Datos!AB11),Datos!AB11,"-")</f>
        <v>189</v>
      </c>
      <c r="AI11" s="337"/>
      <c r="AJ11" s="337"/>
      <c r="AK11" s="337"/>
      <c r="AL11" s="482"/>
      <c r="AM11" s="338">
        <f>IF(ISNUMBER(Datos!R11),Datos!R11," - ")</f>
        <v>712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536</v>
      </c>
      <c r="BD11" s="232">
        <f>IF(ISNUMBER(Datos!N11),Datos!N11," - ")</f>
        <v>1338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0.98519808445798873</v>
      </c>
      <c r="BH11" s="263">
        <f>IF(ISNUMBER(((IF(J_V="SI",Datos!L11/Datos!K11,(Datos!L11+Datos!AB11)/(Datos!K11+Datos!AA11)))*11)/factor_trimestre),((IF(J_V="SI",Datos!L11/Datos!K11,(Datos!L11+Datos!AB11)/(Datos!K11+Datos!AA11)))*11)/factor_trimestre," - ")</f>
        <v>4.8413610251878039</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-6.8062827225130892E-2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13</v>
      </c>
      <c r="F13" s="901">
        <f t="shared" si="0"/>
        <v>37</v>
      </c>
      <c r="G13" s="901">
        <f t="shared" si="0"/>
        <v>37</v>
      </c>
      <c r="H13" s="902">
        <f t="shared" si="0"/>
        <v>0</v>
      </c>
      <c r="I13" s="901">
        <f t="shared" si="0"/>
        <v>0</v>
      </c>
      <c r="J13" s="870">
        <f t="shared" si="0"/>
        <v>0</v>
      </c>
      <c r="K13" s="870">
        <f t="shared" si="0"/>
        <v>0</v>
      </c>
      <c r="L13" s="902">
        <f t="shared" si="0"/>
        <v>0</v>
      </c>
      <c r="M13" s="902">
        <f t="shared" si="0"/>
        <v>0</v>
      </c>
      <c r="N13" s="902">
        <f t="shared" si="0"/>
        <v>1871</v>
      </c>
      <c r="O13" s="903">
        <f t="shared" si="0"/>
        <v>0</v>
      </c>
      <c r="P13" s="903">
        <f t="shared" si="0"/>
        <v>0</v>
      </c>
      <c r="Q13" s="902">
        <f t="shared" si="0"/>
        <v>2815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139</v>
      </c>
      <c r="AC13" s="902">
        <f t="shared" si="1"/>
        <v>5251</v>
      </c>
      <c r="AD13" s="902">
        <f t="shared" si="1"/>
        <v>0</v>
      </c>
      <c r="AE13" s="902">
        <f t="shared" si="1"/>
        <v>0</v>
      </c>
      <c r="AF13" s="902">
        <f t="shared" si="1"/>
        <v>52</v>
      </c>
      <c r="AG13" s="902">
        <f t="shared" si="1"/>
        <v>0</v>
      </c>
      <c r="AH13" s="902">
        <f t="shared" si="1"/>
        <v>570</v>
      </c>
      <c r="AI13" s="902">
        <f t="shared" si="1"/>
        <v>0</v>
      </c>
      <c r="AJ13" s="902">
        <f t="shared" si="1"/>
        <v>0</v>
      </c>
      <c r="AK13" s="902">
        <f t="shared" si="1"/>
        <v>0</v>
      </c>
      <c r="AL13" s="902">
        <f t="shared" si="1"/>
        <v>0</v>
      </c>
      <c r="AM13" s="902">
        <f t="shared" si="1"/>
        <v>9837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6763</v>
      </c>
      <c r="BD13" s="902">
        <f t="shared" si="1"/>
        <v>5703</v>
      </c>
      <c r="BE13" s="902">
        <f t="shared" si="1"/>
        <v>0</v>
      </c>
      <c r="BF13" s="902">
        <f t="shared" si="1"/>
        <v>0</v>
      </c>
      <c r="BG13" s="902">
        <f>IF(ISNUMBER(Datos!K13/Datos!J13),Datos!K13/Datos!J13," - ")</f>
        <v>1.0863671301795821</v>
      </c>
      <c r="BH13" s="906">
        <f>IF(ISNUMBER(((Datos!L13/Datos!K13)*11)/factor_trimestre),((Datos!L13/Datos!K13)*11)/factor_trimestre," - ")</f>
        <v>6.9083424454878761</v>
      </c>
      <c r="BI13" s="902">
        <f>IF(ISNUMBER('Resol  Asuntos'!D13/NºAsuntos!G13),'Resol  Asuntos'!D13/NºAsuntos!G13," - ")</f>
        <v>0.39342641070389761</v>
      </c>
      <c r="BJ13" s="902" t="str">
        <f>IF(ISNUMBER(Datos!CI13/Datos!CJ13),Datos!CI13/Datos!CJ13," - ")</f>
        <v xml:space="preserve"> - </v>
      </c>
      <c r="BK13" s="902">
        <f>SUBTOTAL(9,BK8:BK12)</f>
        <v>0</v>
      </c>
      <c r="BL13" s="902">
        <f>IF(ISNUMBER((I13-AB13+L13)/(F13)),(I13-AB13+L13)/(F13)," - ")</f>
        <v>-3.7567567567567566</v>
      </c>
      <c r="BM13" s="907">
        <f>SUBTOTAL(9,BM9:BM12)</f>
        <v>-1.4281484021299265E-2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1228</v>
      </c>
      <c r="G15" s="601">
        <f>IF(ISNUMBER(IF(D_I="SI",Datos!I15,Datos!I15+Datos!AC15)),IF(D_I="SI",Datos!I15,Datos!I15+Datos!AC15)," - ")</f>
        <v>1305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982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10255</v>
      </c>
      <c r="AC15" s="229">
        <f>IF(ISNUMBER(Datos!Q15),Datos!Q15," - ")</f>
        <v>1115</v>
      </c>
      <c r="AD15" s="337"/>
      <c r="AE15" s="487"/>
      <c r="AF15" s="599">
        <f>IF(ISNUMBER(IF(D_I="SI",Datos!L15,Datos!L15+Datos!AF15)),IF(D_I="SI",Datos!L15,Datos!L15+Datos!AF15)," - ")</f>
        <v>1561</v>
      </c>
      <c r="AG15" s="337"/>
      <c r="AH15" s="337"/>
      <c r="AI15" s="337"/>
      <c r="AJ15" s="337"/>
      <c r="AK15" s="337"/>
      <c r="AL15" s="482"/>
      <c r="AM15" s="338">
        <f>IF(ISNUMBER(Datos!R15),Datos!R15," - ")</f>
        <v>480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2513</v>
      </c>
      <c r="BD15" s="232">
        <f>IF(ISNUMBER(Datos!N15),Datos!N15," - ")</f>
        <v>5094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0.96854930109557991</v>
      </c>
      <c r="BH15" s="263">
        <f>IF(ISNUMBER(((IF(D_I="SI",Datos!L15/Datos!K15,(Datos!L15+Datos!AF15)/(Datos!K15+Datos!AE15)))*11)/factor_trimestre),((IF(D_I="SI",Datos!L15/Datos!K15,(Datos!L15+Datos!AF15)/(Datos!K15+Datos!AE15)))*11)/factor_trimestre," - ")</f>
        <v>1.6744027303754265</v>
      </c>
      <c r="BI15" s="246">
        <f>IF(ISNUMBER('Resol  Asuntos'!D15/NºAsuntos!G15),'Resol  Asuntos'!D15/NºAsuntos!G15," - ")</f>
        <v>0.24505119453924915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1626</v>
      </c>
      <c r="AC17" s="229">
        <f>IF(ISNUMBER(Datos!Q17),Datos!Q17," - ")</f>
        <v>21</v>
      </c>
      <c r="AD17" s="337"/>
      <c r="AE17" s="487"/>
      <c r="AF17" s="335">
        <f>IF(ISNUMBER(Datos!L17),Datos!L17,"-")</f>
        <v>89</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174</v>
      </c>
      <c r="BD17" s="232">
        <f>IF(ISNUMBER(Datos!N17),Datos!N17," - ")</f>
        <v>794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0.99449541284403675</v>
      </c>
      <c r="BH17" s="263">
        <f>IF(ISNUMBER(((IF(D_I="SI",Datos!L17/Datos!K17,(Datos!L17+Datos!AF17)/(Datos!K17+Datos!AE17)))*11)/factor_trimestre),((IF(D_I="SI",Datos!L17/Datos!K17,(Datos!L17+Datos!AF17)/(Datos!K17+Datos!AE17)))*11)/factor_trimestre," - ")</f>
        <v>0.60209102091020916</v>
      </c>
      <c r="BI17" s="246">
        <f>IF(ISNUMBER('Resol  Asuntos'!D17/NºAsuntos!G17),'Resol  Asuntos'!D17/NºAsuntos!G17," - ")</f>
        <v>0.1070110701107011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1228</v>
      </c>
      <c r="G18" s="901">
        <f>SUBTOTAL(9,G15:G17)</f>
        <v>1375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1003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11881</v>
      </c>
      <c r="AC18" s="902">
        <f t="shared" si="4"/>
        <v>1136</v>
      </c>
      <c r="AD18" s="902">
        <f t="shared" si="4"/>
        <v>0</v>
      </c>
      <c r="AE18" s="902">
        <f t="shared" si="4"/>
        <v>0</v>
      </c>
      <c r="AF18" s="902">
        <f t="shared" si="4"/>
        <v>1650</v>
      </c>
      <c r="AG18" s="902">
        <f t="shared" si="4"/>
        <v>0</v>
      </c>
      <c r="AH18" s="902">
        <f t="shared" si="4"/>
        <v>0</v>
      </c>
      <c r="AI18" s="902">
        <f t="shared" si="4"/>
        <v>0</v>
      </c>
      <c r="AJ18" s="902">
        <f t="shared" si="4"/>
        <v>0</v>
      </c>
      <c r="AK18" s="902">
        <f t="shared" si="4"/>
        <v>0</v>
      </c>
      <c r="AL18" s="902">
        <f t="shared" si="4"/>
        <v>0</v>
      </c>
      <c r="AM18" s="902">
        <f t="shared" si="4"/>
        <v>489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2687</v>
      </c>
      <c r="BD18" s="902">
        <f t="shared" si="4"/>
        <v>5888</v>
      </c>
      <c r="BE18" s="902">
        <f t="shared" si="4"/>
        <v>0</v>
      </c>
      <c r="BF18" s="902">
        <f t="shared" si="4"/>
        <v>0</v>
      </c>
      <c r="BG18" s="902">
        <f>IF(ISNUMBER(Datos!K18/Datos!J18),Datos!K18/Datos!J18," - ")</f>
        <v>0.97201996236603128</v>
      </c>
      <c r="BH18" s="906">
        <f>IF(ISNUMBER(((Datos!L18/Datos!K18)*11)/factor_trimestre),((Datos!L18/Datos!K18)*11)/factor_trimestre," - ")</f>
        <v>1.5276491877788065</v>
      </c>
      <c r="BI18" s="902">
        <f>SUBTOTAL(9,BI15:BI17)</f>
        <v>0.35206226464995027</v>
      </c>
      <c r="BJ18" s="902">
        <f>SUBTOTAL(9,BJ15:BJ17)</f>
        <v>0</v>
      </c>
      <c r="BK18" s="902">
        <f>SUBTOTAL(9,BK15:BK17)</f>
        <v>0</v>
      </c>
      <c r="BL18" s="902">
        <f>IF(ISNUMBER((I18-AB18+L18)/(F18)),(I18-AB18+L18)/(F18)," - ")</f>
        <v>-9.6750814332247561</v>
      </c>
      <c r="BM18" s="908">
        <f>IF(ISNUMBER((Datos!P18-Datos!Q18)/(Datos!R18-Datos!P18+Datos!Q18)),(Datos!P18-Datos!Q18)/(Datos!R18-Datos!P18+Datos!Q18)," - ")</f>
        <v>-0.21382636655948553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19</v>
      </c>
      <c r="F19" s="823">
        <f t="shared" si="6"/>
        <v>1265</v>
      </c>
      <c r="G19" s="823">
        <f t="shared" si="6"/>
        <v>1412</v>
      </c>
      <c r="H19" s="825">
        <f t="shared" si="6"/>
        <v>0</v>
      </c>
      <c r="I19" s="823">
        <f t="shared" si="6"/>
        <v>0</v>
      </c>
      <c r="J19" s="825">
        <f t="shared" si="6"/>
        <v>0</v>
      </c>
      <c r="K19" s="825">
        <f t="shared" si="6"/>
        <v>0</v>
      </c>
      <c r="L19" s="884">
        <f t="shared" si="6"/>
        <v>0</v>
      </c>
      <c r="M19" s="884">
        <f t="shared" si="6"/>
        <v>0</v>
      </c>
      <c r="N19" s="884">
        <f t="shared" si="6"/>
        <v>1871</v>
      </c>
      <c r="O19" s="884">
        <f t="shared" si="6"/>
        <v>0</v>
      </c>
      <c r="P19" s="884">
        <f t="shared" si="6"/>
        <v>0</v>
      </c>
      <c r="Q19" s="825">
        <f t="shared" si="6"/>
        <v>3818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12020</v>
      </c>
      <c r="AC19" s="824">
        <f t="shared" si="7"/>
        <v>6387</v>
      </c>
      <c r="AD19" s="824">
        <f t="shared" si="7"/>
        <v>0</v>
      </c>
      <c r="AE19" s="824">
        <f t="shared" si="7"/>
        <v>0</v>
      </c>
      <c r="AF19" s="831">
        <f t="shared" si="7"/>
        <v>1702</v>
      </c>
      <c r="AG19" s="831">
        <f t="shared" si="7"/>
        <v>0</v>
      </c>
      <c r="AH19" s="831">
        <f t="shared" si="7"/>
        <v>570</v>
      </c>
      <c r="AI19" s="831">
        <f t="shared" si="7"/>
        <v>0</v>
      </c>
      <c r="AJ19" s="824">
        <f t="shared" si="7"/>
        <v>0</v>
      </c>
      <c r="AK19" s="831">
        <f t="shared" si="7"/>
        <v>0</v>
      </c>
      <c r="AL19" s="831">
        <f t="shared" si="7"/>
        <v>0</v>
      </c>
      <c r="AM19" s="831">
        <f t="shared" si="7"/>
        <v>10326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9450</v>
      </c>
      <c r="BD19" s="823">
        <f t="shared" si="7"/>
        <v>11591</v>
      </c>
      <c r="BE19" s="823">
        <f t="shared" si="7"/>
        <v>0</v>
      </c>
      <c r="BF19" s="833">
        <f t="shared" si="7"/>
        <v>0</v>
      </c>
      <c r="BG19" s="918">
        <f>IF(ISNUMBER(Datos!K19/Datos!J19),Datos!K19/Datos!J19," - ")</f>
        <v>1.0336926207884225</v>
      </c>
      <c r="BH19" s="918">
        <f>IF(ISNUMBER(((Datos!L19/Datos!K19)*11)/factor_trimestre),((Datos!L19/Datos!K19)*11)/factor_trimestre," - ")</f>
        <v>4.577584949686452</v>
      </c>
      <c r="BI19" s="816">
        <f>IF(ISNUMBER(Datos!J19/Datos!I19),Datos!J19/Datos!I19," - ")</f>
        <v>2.1584641665988773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-9.5019762845849804</v>
      </c>
      <c r="BM19" s="892">
        <f>IF(ISNUMBER((Datos!P19-Datos!Q19+R19)/(Datos!R19-Datos!P19+Datos!Q19-R19)),(Datos!P19-Datos!Q19+R19)/(Datos!R19-Datos!P19+Datos!Q19-R19)," - ")</f>
        <v>-0.19922450562233424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564.79999999999995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4.6844897741850655</v>
      </c>
      <c r="F21" s="554">
        <f>IF(ISNUMBER(STDEV(F8:F18)),STDEV(F8:F18),"-")</f>
        <v>687.62417060484427</v>
      </c>
      <c r="G21" s="555">
        <f>IF(ISNUMBER(STDEV(G8:G18)),STDEV(G8:G18),"-")</f>
        <v>708.21832791872873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5775.4087301246482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2788.9581089240714</v>
      </c>
      <c r="BD21" s="554"/>
      <c r="BE21" s="554">
        <f>IF(ISNUMBER(STDEV(BE8:BE18)),STDEV(BE8:BE18),"-")</f>
        <v>0</v>
      </c>
      <c r="BF21" s="559">
        <f>IF(ISNUMBER(STDEV(BF8:BF18)),STDEV(BF8:BF18),"-")</f>
        <v>0</v>
      </c>
      <c r="BG21" s="778">
        <f>IF(ISNUMBER(STDEV(BG8:BG18)),STDEV(BG8:BG18),"-")</f>
        <v>6.437724025699125E-2</v>
      </c>
      <c r="BH21" s="779">
        <f>IF(ISNUMBER(STDEV(BH8:BH18)),STDEV(BH8:BH18),"-")</f>
        <v>2.5951708895796628</v>
      </c>
      <c r="BI21" s="252">
        <f>IF(ISNUMBER(STDEV(BI8:BI18)),STDEV(BI8:BI18),"-")</f>
        <v>0.1279050682151267</v>
      </c>
      <c r="BJ21" s="233" t="str">
        <f>IF(ISNUMBER(BL21/BM21),BL21/BM21," - ")</f>
        <v xml:space="preserve"> - </v>
      </c>
      <c r="BK21" s="578"/>
      <c r="BL21" s="562">
        <f>IF(ISNUMBER(STDEV(BL8:BL18)),STDEV(BL8:BL18),"-")</f>
        <v>4.1848875119942033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caFMwG5l3f07sZBkW+KXRdD38VKPErHjBbA0zO61iTphpDqqEUdk37RMBUaOA8xtUznd2J2+gt8DOBhOARFag==" saltValue="YCA7S2J7Gf8lcTEGQkZh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SANTANDER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2541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4944</v>
      </c>
      <c r="AA9" s="335" t="str">
        <f>IF(ISNUMBER(IF(J_V="SI",Datos!L9,Datos!L9+Datos!AB9)-IF(Monitorios="SI",Datos!CD9,0)),
                          IF(J_V="SI",Datos!L9,Datos!L9+Datos!AB9)-IF(Monitorios="SI",Datos!CD9,0),
                          " - ")</f>
        <v xml:space="preserve"> - </v>
      </c>
      <c r="AB9" s="337"/>
      <c r="AC9" s="337"/>
      <c r="AD9" s="487"/>
      <c r="AE9" s="487">
        <f>IF(ISNUMBER(Datos!R9),Datos!R9," - ")</f>
        <v>9034</v>
      </c>
      <c r="AF9" s="232" t="str">
        <f>IF(ISNUMBER(Datos!BV9),Datos!BV9," - ")</f>
        <v xml:space="preserve"> - </v>
      </c>
      <c r="AG9" s="228" t="str">
        <f>IF(ISNUMBER(Datos!DV9),Datos!DV9," - ")</f>
        <v xml:space="preserve"> - </v>
      </c>
      <c r="AH9" s="301"/>
      <c r="AI9" s="230"/>
      <c r="AJ9" s="228">
        <f>IF(ISNUMBER(Datos!M9),Datos!M9," - ")</f>
        <v>6173</v>
      </c>
      <c r="AK9" s="232">
        <f>IF(ISNUMBER(Datos!N9),Datos!N9," - ")</f>
        <v>4315</v>
      </c>
      <c r="AL9" s="232" t="str">
        <f>IF(ISNUMBER(Datos!BW9),Datos!BW9," - ")</f>
        <v xml:space="preserve"> - </v>
      </c>
      <c r="AM9" s="231" t="str">
        <f>IF(ISNUMBER(Datos!BX9),Datos!BX9," - ")</f>
        <v xml:space="preserve"> - </v>
      </c>
      <c r="AN9" s="246"/>
      <c r="AO9" s="263">
        <f>IF(ISNUMBER(((NºAsuntos!I9/NºAsuntos!G9)*11)/factor_trimestre),((NºAsuntos!I9/NºAsuntos!G9)*11)/factor_trimestre," - ")</f>
        <v>6.9073573167433047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-0.21010754568505727</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37</v>
      </c>
      <c r="G10" s="228">
        <f>IF(ISNUMBER(Datos!I10),Datos!I10," - ")</f>
        <v>37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139</v>
      </c>
      <c r="Z10" s="622">
        <f>IF(ISNUMBER(Datos!Q10),Datos!Q10," - ")</f>
        <v>27</v>
      </c>
      <c r="AA10" s="335">
        <f>IF(ISNUMBER(Datos!L10),Datos!L10,"-")</f>
        <v>52</v>
      </c>
      <c r="AB10" s="337"/>
      <c r="AC10" s="337"/>
      <c r="AD10" s="487"/>
      <c r="AE10" s="487">
        <f>IF(ISNUMBER(Datos!R10),Datos!R10," - ")</f>
        <v>91</v>
      </c>
      <c r="AF10" s="232" t="str">
        <f>IF(ISNUMBER(Datos!BV10),Datos!BV10," - ")</f>
        <v xml:space="preserve"> - </v>
      </c>
      <c r="AG10" s="228" t="str">
        <f>IF(ISNUMBER(Datos!DV10),Datos!DV10," - ")</f>
        <v xml:space="preserve"> - </v>
      </c>
      <c r="AH10" s="301"/>
      <c r="AI10" s="230"/>
      <c r="AJ10" s="228">
        <f>IF(ISNUMBER(Datos!M10),Datos!M10," - ")</f>
        <v>54</v>
      </c>
      <c r="AK10" s="232">
        <f>IF(ISNUMBER(Datos!N10),Datos!N10," - ")</f>
        <v>50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4.1151079136690649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0.2638888888888889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228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280</v>
      </c>
      <c r="AA11" s="335" t="str">
        <f>IF(ISNUMBER(IF(J_V="SI",Datos!L11,Datos!L11+Datos!AB11)-IF(Monitorios="SI",Datos!CD11,0)),
                          IF(J_V="SI",Datos!L11,Datos!L11+Datos!AB11)-IF(Monitorios="SI",Datos!CD11,0),
                          " - ")</f>
        <v xml:space="preserve"> - </v>
      </c>
      <c r="AB11" s="337"/>
      <c r="AC11" s="337"/>
      <c r="AD11" s="487"/>
      <c r="AE11" s="487">
        <f>IF(ISNUMBER(Datos!R11),Datos!R11," - ")</f>
        <v>712</v>
      </c>
      <c r="AF11" s="232" t="str">
        <f>IF(ISNUMBER(Datos!BV11),Datos!BV11," - ")</f>
        <v xml:space="preserve"> - </v>
      </c>
      <c r="AG11" s="228" t="str">
        <f>IF(ISNUMBER(Datos!DV11),Datos!DV11," - ")</f>
        <v xml:space="preserve"> - </v>
      </c>
      <c r="AH11" s="301"/>
      <c r="AI11" s="230"/>
      <c r="AJ11" s="228">
        <f>IF(ISNUMBER(Datos!M11),Datos!M11," - ")</f>
        <v>536</v>
      </c>
      <c r="AK11" s="232">
        <f>IF(ISNUMBER(Datos!N11),Datos!N11," - ")</f>
        <v>1338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4.8413610251878039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-6.8062827225130892E-2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13</v>
      </c>
      <c r="F13" s="901">
        <f>SUBTOTAL(9,F8:F12)</f>
        <v>37</v>
      </c>
      <c r="G13" s="901">
        <f>SUBTOTAL(9,G8:G12)</f>
        <v>37</v>
      </c>
      <c r="H13" s="911"/>
      <c r="I13" s="901">
        <f t="shared" ref="I13:N13" si="0">SUBTOTAL(9,I8:I12)</f>
        <v>0</v>
      </c>
      <c r="J13" s="870">
        <f t="shared" si="0"/>
        <v>0</v>
      </c>
      <c r="K13" s="911">
        <f t="shared" si="0"/>
        <v>0</v>
      </c>
      <c r="L13" s="911">
        <f t="shared" si="0"/>
        <v>0</v>
      </c>
      <c r="M13" s="911">
        <f t="shared" si="0"/>
        <v>0</v>
      </c>
      <c r="N13" s="911">
        <f t="shared" si="0"/>
        <v>2815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139</v>
      </c>
      <c r="Z13" s="910">
        <f t="shared" si="2"/>
        <v>5251</v>
      </c>
      <c r="AA13" s="903">
        <f t="shared" si="2"/>
        <v>52</v>
      </c>
      <c r="AB13" s="903">
        <f t="shared" si="2"/>
        <v>0</v>
      </c>
      <c r="AC13" s="903">
        <f t="shared" si="2"/>
        <v>0</v>
      </c>
      <c r="AD13" s="903">
        <f t="shared" si="2"/>
        <v>0</v>
      </c>
      <c r="AE13" s="903">
        <f t="shared" si="2"/>
        <v>9837</v>
      </c>
      <c r="AF13" s="911">
        <f t="shared" si="2"/>
        <v>0</v>
      </c>
      <c r="AG13" s="911">
        <f t="shared" si="2"/>
        <v>0</v>
      </c>
      <c r="AH13" s="911">
        <f t="shared" si="2"/>
        <v>0</v>
      </c>
      <c r="AI13" s="911">
        <f t="shared" si="2"/>
        <v>0</v>
      </c>
      <c r="AJ13" s="911">
        <f t="shared" si="2"/>
        <v>6763</v>
      </c>
      <c r="AK13" s="911">
        <f t="shared" si="2"/>
        <v>5703</v>
      </c>
      <c r="AL13" s="911">
        <f t="shared" si="2"/>
        <v>0</v>
      </c>
      <c r="AM13" s="911">
        <f t="shared" si="2"/>
        <v>0</v>
      </c>
      <c r="AN13" s="911">
        <f t="shared" si="2"/>
        <v>0</v>
      </c>
      <c r="AO13" s="907">
        <f>IF(ISNUMBER(((NºAsuntos!I13/NºAsuntos!G13)*11)/factor_trimestre),((NºAsuntos!I13/NºAsuntos!G13)*11)/factor_trimestre," - ")</f>
        <v>6.6127981384525887</v>
      </c>
      <c r="AP13" s="913" t="str">
        <f>IF(ISNUMBER(Datos!CI13/Datos!CJ13),Datos!CI13/Datos!CJ13," - ")</f>
        <v xml:space="preserve"> - </v>
      </c>
      <c r="AQ13" s="931">
        <f t="shared" ref="AQ13:AV13" si="3">SUBTOTAL(9,AQ9:AQ12)</f>
        <v>0</v>
      </c>
      <c r="AR13" s="931">
        <f t="shared" si="3"/>
        <v>-1.4281484021299265E-2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1228</v>
      </c>
      <c r="G15" s="228">
        <f>IF(ISNUMBER(IF(D_I="SI",Datos!I15,Datos!I15+Datos!AC15)),IF(D_I="SI",Datos!I15,Datos!I15+Datos!AC15)," - ")</f>
        <v>1305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982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10255</v>
      </c>
      <c r="Z15" s="622">
        <f>IF(ISNUMBER(Datos!Q15),Datos!Q15," - ")</f>
        <v>1115</v>
      </c>
      <c r="AA15" s="335">
        <f>IF(ISNUMBER(IF(D_I="SI",Datos!L15,Datos!L15+Datos!AF15)),IF(D_I="SI",Datos!L15,Datos!L15+Datos!AF15)," - ")</f>
        <v>1561</v>
      </c>
      <c r="AB15" s="337"/>
      <c r="AC15" s="337"/>
      <c r="AD15" s="487"/>
      <c r="AE15" s="487">
        <f>IF(ISNUMBER(Datos!R15),Datos!R15," - ")</f>
        <v>480</v>
      </c>
      <c r="AF15" s="232" t="str">
        <f>IF(ISNUMBER(Datos!BV15),Datos!BV15," - ")</f>
        <v xml:space="preserve"> - </v>
      </c>
      <c r="AG15" s="228"/>
      <c r="AH15" s="301"/>
      <c r="AI15" s="230"/>
      <c r="AJ15" s="228">
        <f>IF(ISNUMBER(Datos!M15),Datos!M15," - ")</f>
        <v>2513</v>
      </c>
      <c r="AK15" s="232">
        <f>IF(ISNUMBER(Datos!N15),Datos!N15," - ")</f>
        <v>5094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1.6744027303754265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1626</v>
      </c>
      <c r="Z17" s="622">
        <f>IF(ISNUMBER(Datos!Q17),Datos!Q17," - ")</f>
        <v>21</v>
      </c>
      <c r="AA17" s="335">
        <f>IF(ISNUMBER(Datos!L17),Datos!L17,"-")</f>
        <v>89</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174</v>
      </c>
      <c r="AK17" s="232">
        <f>IF(ISNUMBER(Datos!N17),Datos!N17," - ")</f>
        <v>794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0.60209102091020916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1228</v>
      </c>
      <c r="G18" s="901">
        <f>SUBTOTAL(9,G15:G17)</f>
        <v>1375</v>
      </c>
      <c r="H18" s="935">
        <f>SUBTOTAL(9,H15:H17)</f>
        <v>0</v>
      </c>
      <c r="I18" s="914">
        <f>SUBTOTAL(9,I15:I17)</f>
        <v>0</v>
      </c>
      <c r="J18" s="870">
        <f>SUBTOTAL(9,J14:J17)</f>
        <v>0</v>
      </c>
      <c r="K18" s="935">
        <f t="shared" ref="K18:S18" si="4">SUBTOTAL(9,K15:K17)</f>
        <v>0</v>
      </c>
      <c r="L18" s="935">
        <f t="shared" si="4"/>
        <v>0</v>
      </c>
      <c r="M18" s="935">
        <f t="shared" si="4"/>
        <v>0</v>
      </c>
      <c r="N18" s="935">
        <f t="shared" si="4"/>
        <v>1003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11881</v>
      </c>
      <c r="Z18" s="935">
        <f t="shared" si="5"/>
        <v>1136</v>
      </c>
      <c r="AA18" s="935">
        <f t="shared" si="5"/>
        <v>1650</v>
      </c>
      <c r="AB18" s="935">
        <f t="shared" si="5"/>
        <v>0</v>
      </c>
      <c r="AC18" s="935">
        <f t="shared" si="5"/>
        <v>0</v>
      </c>
      <c r="AD18" s="935">
        <f t="shared" si="5"/>
        <v>0</v>
      </c>
      <c r="AE18" s="935">
        <f t="shared" si="5"/>
        <v>489</v>
      </c>
      <c r="AF18" s="935">
        <f t="shared" si="5"/>
        <v>0</v>
      </c>
      <c r="AG18" s="935">
        <f t="shared" si="5"/>
        <v>0</v>
      </c>
      <c r="AH18" s="935">
        <f t="shared" si="5"/>
        <v>0</v>
      </c>
      <c r="AI18" s="935">
        <f t="shared" si="5"/>
        <v>0</v>
      </c>
      <c r="AJ18" s="935">
        <f t="shared" si="5"/>
        <v>2687</v>
      </c>
      <c r="AK18" s="935">
        <f t="shared" si="5"/>
        <v>5888</v>
      </c>
      <c r="AL18" s="935">
        <f t="shared" si="5"/>
        <v>0</v>
      </c>
      <c r="AM18" s="935">
        <f t="shared" si="5"/>
        <v>0</v>
      </c>
      <c r="AN18" s="935">
        <f t="shared" si="5"/>
        <v>0</v>
      </c>
      <c r="AO18" s="937">
        <f>IF(ISNUMBER(((NºAsuntos!I18/NºAsuntos!G18)*11)/factor_trimestre),((NºAsuntos!I18/NºAsuntos!G18)*11)/factor_trimestre," - ")</f>
        <v>1.5276491877788065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1265</v>
      </c>
      <c r="G19" s="823">
        <f t="shared" si="7"/>
        <v>1412</v>
      </c>
      <c r="H19" s="824">
        <f t="shared" si="7"/>
        <v>0</v>
      </c>
      <c r="I19" s="823">
        <f t="shared" si="7"/>
        <v>0</v>
      </c>
      <c r="J19" s="825">
        <f t="shared" si="7"/>
        <v>0</v>
      </c>
      <c r="K19" s="823">
        <f t="shared" si="7"/>
        <v>0</v>
      </c>
      <c r="L19" s="826">
        <f t="shared" si="7"/>
        <v>0</v>
      </c>
      <c r="M19" s="823">
        <f t="shared" si="7"/>
        <v>0</v>
      </c>
      <c r="N19" s="824">
        <f t="shared" si="7"/>
        <v>3818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12020</v>
      </c>
      <c r="Z19" s="830">
        <f t="shared" si="8"/>
        <v>6387</v>
      </c>
      <c r="AA19" s="831">
        <f t="shared" si="8"/>
        <v>1702</v>
      </c>
      <c r="AB19" s="831">
        <f t="shared" si="8"/>
        <v>0</v>
      </c>
      <c r="AC19" s="831">
        <f t="shared" si="8"/>
        <v>0</v>
      </c>
      <c r="AD19" s="832">
        <f t="shared" si="8"/>
        <v>0</v>
      </c>
      <c r="AE19" s="832">
        <f t="shared" si="8"/>
        <v>10326</v>
      </c>
      <c r="AF19" s="833">
        <f t="shared" si="8"/>
        <v>0</v>
      </c>
      <c r="AG19" s="834">
        <f t="shared" si="8"/>
        <v>0</v>
      </c>
      <c r="AH19" s="835">
        <f t="shared" si="8"/>
        <v>0</v>
      </c>
      <c r="AI19" s="833">
        <f t="shared" si="8"/>
        <v>0</v>
      </c>
      <c r="AJ19" s="823">
        <f t="shared" si="8"/>
        <v>9450</v>
      </c>
      <c r="AK19" s="823">
        <f t="shared" si="8"/>
        <v>11591</v>
      </c>
      <c r="AL19" s="823">
        <f t="shared" si="8"/>
        <v>0</v>
      </c>
      <c r="AM19" s="836">
        <f t="shared" si="8"/>
        <v>0</v>
      </c>
      <c r="AN19" s="826">
        <f>IF(ISNUMBER(Datos!K19/Datos!J19),Datos!K19/Datos!J19," - ")</f>
        <v>1.0336926207884225</v>
      </c>
      <c r="AO19" s="826">
        <f>IF(ISNUMBER(FIND("06",Criterios!A8,1)),(IF(ISNUMBER(((Datos!R19/Datos!Q19)*11)/factor_trimestre),((Datos!R19/Datos!Q19)*11)/factor_trimestre," - ")),(IF(ISNUMBER(((Datos!L19/Datos!K19)*11)/factor_trimestre),((Datos!L19/Datos!K19)*11)/factor_trimestre," - ")))</f>
        <v>4.577584949686452</v>
      </c>
      <c r="AP19" s="837" t="str">
        <f>IF(ISNUMBER(Datos!CI19/Datos!CJ19),Datos!CI19/Datos!CJ19," - ")</f>
        <v xml:space="preserve"> - </v>
      </c>
      <c r="AQ19" s="837">
        <f>IF(OR(ISNUMBER(FIND("01",Criterios!A8,1)),ISNUMBER(FIND("02",Criterios!A8,1)),ISNUMBER(FIND("03",Criterios!A8,1)),ISNUMBER(FIND("04",Criterios!A8,1))),(J19-Y19+K19)/(F19-K19),(I19-Y19+K19)/(F19-K19))</f>
        <v>-9.5019762845849804</v>
      </c>
      <c r="AR19" s="837">
        <f>IF(ISNUMBER((Datos!P19-Datos!Q19+O19)/(Datos!R19-Datos!P19+Datos!Q19-O19)),(Datos!P19-Datos!Q19+O19)/(Datos!R19-Datos!P19+Datos!Q19-O19)," - ")</f>
        <v>-0.19922450562233424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564.79999999999995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687.62417060484427</v>
      </c>
      <c r="G21" s="555">
        <f>IF(ISNUMBER(STDEV(G8:G18)),STDEV(G8:G18),"-")</f>
        <v>708.21832791872873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2788.9581089240714</v>
      </c>
      <c r="AK21" s="255"/>
      <c r="AL21" s="255">
        <f>IF(ISNUMBER(STDEV(AL8:AL18)),STDEV(AL8:AL18),"-")</f>
        <v>0</v>
      </c>
      <c r="AM21" s="257">
        <f>IF(ISNUMBER(STDEV(AM8:AM18)),STDEV(AM8:AM18),"-")</f>
        <v>0</v>
      </c>
      <c r="AN21" s="542">
        <f>IF(ISNUMBER(STDEV(AN8:AN18)),STDEV(AN8:AN18),"-")</f>
        <v>0</v>
      </c>
      <c r="AO21" s="543">
        <f>IF(ISNUMBER(STDEV(AO8:AO18)),STDEV(AO8:AO18),"-")</f>
        <v>2.5378808071974244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3cjgkPNbPFKE0CGftVt9Lz9l6Z2qEDQneg7xQ6OUWIUBmvIT21km3SYTTuyN8V8tWd9iQDe2btgYmYCj1DVIw==" saltValue="7RrPbgOpS+W9bcihZ17U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FmzARO4shNMBGzoIRd/ks8BjRLQC1UW53R+KxyyvoRpAp2+533TMqvoHveWUqQgUau8pAh/32hWVZTPaIDMOw==" saltValue="slf1aCGd6uAkuQxT6LLz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quGJGT4+UeXRJEaGyzXpMUSj0lu/gfqXVHPje6jAfPHYUnbS+AvHRC2wxhNYPChm3tyb+irdkdatZcnBIOHjQ==" saltValue="R+wRxvHY9fWWSF1tPpMu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SANTANDER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0.39342641070389761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0.2781944829066097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dmgU6EsUtFY54e/a7HTydo2tqbE3hk6CWuauvPVaxPpd48IDapgaTTVT1n/bMPleTuxfL/ZaAzDnLbdY3X44Q==" saltValue="eDVYYrVXXD83sHfvQLcS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Tm2ypAez1ZUX3ixYbJ/+yP+qwHGgyT3TmZC02WbfnPGlW+sbhlv7N46PDdRSudzqT//xVQXooFxcHcmjhRLBw==" saltValue="toHdzdZsoXDYHmiHz64b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SANTANDER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10</v>
      </c>
      <c r="C9" s="406">
        <f>IF(ISNUMBER(IF(J_V="SI",Datos!I9,Datos!I9+Datos!Y9)),IF(J_V="SI",Datos!I9,Datos!I9+Datos!Y9)," - ")</f>
        <v>10042</v>
      </c>
      <c r="D9" s="407">
        <f>IF(ISNUMBER(C9/Datos!BH9),C9/Datos!BH9," - ")</f>
        <v>1004.2</v>
      </c>
      <c r="E9" s="406">
        <f>IF(ISNUMBER(IF(J_V="SI",Datos!J9,Datos!J9+Datos!Z9)),IF(J_V="SI",Datos!J9,Datos!J9+Datos!Z9)," - ")</f>
        <v>13731</v>
      </c>
      <c r="F9" s="407">
        <f>IF(ISNUMBER(E9/B9),E9/B9," - ")</f>
        <v>1373.1</v>
      </c>
      <c r="G9" s="406">
        <f>IF(ISNUMBER(IF(J_V="SI",Datos!K9,Datos!K9+Datos!AA9)),IF(J_V="SI",Datos!K9,Datos!K9+Datos!AA9)," - ")</f>
        <v>14788</v>
      </c>
      <c r="H9" s="407">
        <f>IF(ISNUMBER(G9/B9),G9/B9," - ")</f>
        <v>1478.8</v>
      </c>
      <c r="I9" s="406">
        <f>IF(ISNUMBER(IF(J_V="SI",Datos!L9,Datos!L9+Datos!AB9)),IF(J_V="SI",Datos!L9,Datos!L9+Datos!AB9)," - ")</f>
        <v>9286</v>
      </c>
      <c r="J9" s="407">
        <f>IF(ISNUMBER(I9/B9),I9/B9," - ")</f>
        <v>928.6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37</v>
      </c>
      <c r="D10" s="407">
        <f>IF(ISNUMBER(C10/Datos!BH10),C10/Datos!BH10," - ")</f>
        <v>37</v>
      </c>
      <c r="E10" s="406">
        <f>IF(ISNUMBER(Datos!J10),Datos!J10," - ")</f>
        <v>154</v>
      </c>
      <c r="F10" s="407">
        <f>IF(ISNUMBER(E10/B10),E10/B10," - ")</f>
        <v>154</v>
      </c>
      <c r="G10" s="406">
        <f>IF(ISNUMBER(Datos!K10),Datos!K10," - ")</f>
        <v>139</v>
      </c>
      <c r="H10" s="407">
        <f>IF(ISNUMBER(G10/B10),G10/B10," - ")</f>
        <v>139</v>
      </c>
      <c r="I10" s="406">
        <f>IF(ISNUMBER(Datos!L10),Datos!L10," - ")</f>
        <v>52</v>
      </c>
      <c r="J10" s="407">
        <f>IF(ISNUMBER(I10/B10),I10/B10," - ")</f>
        <v>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1178</v>
      </c>
      <c r="D11" s="407">
        <f>IF(ISNUMBER(C11/Datos!BH11),C11/Datos!BH11," - ")</f>
        <v>589</v>
      </c>
      <c r="E11" s="406">
        <f>IF(ISNUMBER(IF(J_V="SI",Datos!J11,Datos!J11+Datos!Z11)),IF(J_V="SI",Datos!J11,Datos!J11+Datos!Z11)," - ")</f>
        <v>2297</v>
      </c>
      <c r="F11" s="407">
        <f>IF(ISNUMBER(E11/B11),E11/B11," - ")</f>
        <v>1148.5</v>
      </c>
      <c r="G11" s="406">
        <f>IF(ISNUMBER(IF(J_V="SI",Datos!K11,Datos!K11+Datos!AA11)),IF(J_V="SI",Datos!K11,Datos!K11+Datos!AA11)," - ")</f>
        <v>2263</v>
      </c>
      <c r="H11" s="407">
        <f>IF(ISNUMBER(G11/B11),G11/B11," - ")</f>
        <v>1131.5</v>
      </c>
      <c r="I11" s="406">
        <f>IF(ISNUMBER(IF(J_V="SI",Datos!L11,Datos!L11+Datos!AB11)),IF(J_V="SI",Datos!L11,Datos!L11+Datos!AB11)," - ")</f>
        <v>996</v>
      </c>
      <c r="J11" s="407">
        <f>IF(ISNUMBER(I11/B11),I11/B11," - ")</f>
        <v>498</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13</v>
      </c>
      <c r="C13" s="852">
        <f>SUBTOTAL(9,C8:C12)</f>
        <v>11257</v>
      </c>
      <c r="D13" s="853" t="str">
        <f>IF(ISNUMBER(C13/Datos!BI13),C13/Datos!BI13," - ")</f>
        <v xml:space="preserve"> - </v>
      </c>
      <c r="E13" s="852">
        <f>SUBTOTAL(9,E8:E12)</f>
        <v>16182</v>
      </c>
      <c r="F13" s="853">
        <f>IF(ISNUMBER(E13/B13),E13/B13," - ")</f>
        <v>1244.7692307692307</v>
      </c>
      <c r="G13" s="852">
        <f>SUBTOTAL(9,G8:G12)</f>
        <v>17190</v>
      </c>
      <c r="H13" s="853">
        <f>IF(ISNUMBER(G13/B13),G13/B13," - ")</f>
        <v>1322.3076923076924</v>
      </c>
      <c r="I13" s="852">
        <f>SUBTOTAL(9,I8:I12)</f>
        <v>10334</v>
      </c>
      <c r="J13" s="853">
        <f>IF(ISNUMBER(I13/B13),I13/B13," - ")</f>
        <v>794.92307692307691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1305</v>
      </c>
      <c r="D15" s="407">
        <f>IF(ISNUMBER(C15/Datos!BH15),C15/Datos!BH15," - ")</f>
        <v>261</v>
      </c>
      <c r="E15" s="406">
        <f>IF(ISNUMBER(IF(D_I="SI",Datos!J15,Datos!J15+Datos!AD15)),IF(D_I="SI",Datos!J15,Datos!J15+Datos!AD15)," - ")</f>
        <v>10588</v>
      </c>
      <c r="F15" s="407">
        <f>IF(ISNUMBER(E15/B15),E15/B15," - ")</f>
        <v>2117.6</v>
      </c>
      <c r="G15" s="406">
        <f>IF(ISNUMBER(IF(D_I="SI",Datos!K15,Datos!K15+Datos!AE15)),IF(D_I="SI",Datos!K15,Datos!K15+Datos!AE15)," - ")</f>
        <v>10255</v>
      </c>
      <c r="H15" s="407">
        <f>IF(ISNUMBER(G15/B15),G15/B15," - ")</f>
        <v>2051</v>
      </c>
      <c r="I15" s="406">
        <f>IF(ISNUMBER(IF(D_I="SI",Datos!L15,Datos!L15+Datos!AF15)),IF(D_I="SI",Datos!L15,Datos!L15+Datos!AF15)," - ")</f>
        <v>1561</v>
      </c>
      <c r="J15" s="407">
        <f>IF(ISNUMBER(I15/B15),I15/B15," - ")</f>
        <v>312.2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70</v>
      </c>
      <c r="D17" s="407">
        <f>IF(ISNUMBER(C17/Datos!BH17),C17/Datos!BH17," - ")</f>
        <v>70</v>
      </c>
      <c r="E17" s="406">
        <f>IF(ISNUMBER(IF(D_I="SI",Datos!J17,Datos!J17+Datos!AD17)),IF(D_I="SI",Datos!J17,Datos!J17+Datos!AD17)," - ")</f>
        <v>1635</v>
      </c>
      <c r="F17" s="407">
        <f>IF(ISNUMBER(E17/B17),E17/B17," - ")</f>
        <v>1635</v>
      </c>
      <c r="G17" s="406">
        <f>IF(ISNUMBER(IF(D_I="SI",Datos!K17,Datos!K17+Datos!AE17)),IF(D_I="SI",Datos!K17,Datos!K17+Datos!AE17)," - ")</f>
        <v>1626</v>
      </c>
      <c r="H17" s="407">
        <f>IF(ISNUMBER(G17/B17),G17/B17," - ")</f>
        <v>1626</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1375</v>
      </c>
      <c r="D18" s="853" t="str">
        <f>IF(ISNUMBER(C18/Datos!BI18),C18/Datos!BI18," - ")</f>
        <v xml:space="preserve"> - </v>
      </c>
      <c r="E18" s="852">
        <f>SUBTOTAL(9,E14:E17)</f>
        <v>12223</v>
      </c>
      <c r="F18" s="853">
        <f>IF(ISNUMBER(E18/B18),E18/B18," - ")</f>
        <v>2037.1666666666667</v>
      </c>
      <c r="G18" s="852">
        <f>SUBTOTAL(9,G14:G17)</f>
        <v>11881</v>
      </c>
      <c r="H18" s="853">
        <f>IF(ISNUMBER(G18/B18),G18/B18," - ")</f>
        <v>1980.1666666666667</v>
      </c>
      <c r="I18" s="852">
        <f>SUBTOTAL(9,I14:I17)</f>
        <v>1650</v>
      </c>
      <c r="J18" s="853">
        <f>IF(ISNUMBER(I18/B18),I18/B18," - ")</f>
        <v>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18</v>
      </c>
      <c r="C19" s="797">
        <f>SUBTOTAL(9,C9:C18)</f>
        <v>12632</v>
      </c>
      <c r="D19" s="798" t="str">
        <f>IF(ISNUMBER(C19/Datos!BI19),C19/Datos!BI19," - ")</f>
        <v xml:space="preserve"> - </v>
      </c>
      <c r="E19" s="797">
        <f>SUBTOTAL(9,E9:E18)</f>
        <v>28405</v>
      </c>
      <c r="F19" s="798">
        <f>IF(ISNUMBER(E19/B19),E19/B19," - ")</f>
        <v>1578.0555555555557</v>
      </c>
      <c r="G19" s="797">
        <f>SUBTOTAL(9,G9:G18)</f>
        <v>29071</v>
      </c>
      <c r="H19" s="798">
        <f>IF(ISNUMBER(G19/B19),G19/B19," - ")</f>
        <v>1615.0555555555557</v>
      </c>
      <c r="I19" s="797">
        <f>SUBTOTAL(9,I9:I18)</f>
        <v>11984</v>
      </c>
      <c r="J19" s="798">
        <f>IF(ISNUMBER(I19/B19),I19/B19," - ")</f>
        <v>665.77777777777783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nB04DyUnc0Ue1eJKfeIY0sibHWQjMRTxjQQSPHYjBzn6bYnr+Dv7WIHFnNJChtMxBXJiL6KsUQy21z6PGbGGw==" saltValue="1lWtftcwdh/Q8On0j3Sr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SANTANDER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10</v>
      </c>
      <c r="B9" s="504" t="s">
        <v>246</v>
      </c>
      <c r="C9" s="163" t="str">
        <f>Datos!A9</f>
        <v xml:space="preserve">Jdos. 1ª Instancia   </v>
      </c>
      <c r="D9" s="505"/>
      <c r="E9" s="685">
        <f>IF(ISNUMBER(Datos!AQ9),Datos!AQ9," - ")</f>
        <v>10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37</v>
      </c>
      <c r="G10" s="687">
        <f>IF(ISNUMBER(Datos!I10),Datos!I10," - ")</f>
        <v>37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139</v>
      </c>
      <c r="AC10" s="686" t="str">
        <f>IF(ISNUMBER(IF(D_I="SI",DatosP!K17,DatosP!K17+DatosP!AE17)),IF(D_I="SI",DatosP!K17,DatosP!K17+DatosP!AE17)," - ")</f>
        <v xml:space="preserve"> - </v>
      </c>
      <c r="AD10" s="688"/>
      <c r="AE10" s="688"/>
      <c r="AF10" s="691">
        <f>IF(ISNUMBER(Datos!L10),Datos!L10,"-")</f>
        <v>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54</v>
      </c>
      <c r="AM10" s="693">
        <f>IF(ISNUMBER(Datos!N10+DatosP!N17),Datos!N10+DatosP!N17," - ")</f>
        <v>50</v>
      </c>
      <c r="AN10" s="693">
        <f>IF(ISNUMBER(Datos!BW10+DatosP!BW17),Datos!BW10+DatosP!BW17," - ")</f>
        <v>0</v>
      </c>
      <c r="AO10" s="694">
        <f>IF(ISNUMBER(Datos!BX10+DatosP!BX17),Datos!BX10+DatosP!BX17," - ")</f>
        <v>0</v>
      </c>
      <c r="AP10" s="696">
        <f>IF(ISNUMBER(((Datos!L10/Datos!K10)*11)/factor_trimestre),((Datos!L10/Datos!K10)*11)/factor_trimestre," - ")</f>
        <v>4.1151079136690649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13</v>
      </c>
      <c r="F13" s="941">
        <f t="shared" si="0"/>
        <v>37</v>
      </c>
      <c r="G13" s="941">
        <f t="shared" si="0"/>
        <v>37</v>
      </c>
      <c r="H13" s="941">
        <f t="shared" si="0"/>
        <v>0</v>
      </c>
      <c r="I13" s="943">
        <f t="shared" si="0"/>
        <v>0</v>
      </c>
      <c r="J13" s="942">
        <f t="shared" si="0"/>
        <v>0</v>
      </c>
      <c r="K13" s="942">
        <f t="shared" si="0"/>
        <v>0</v>
      </c>
      <c r="L13" s="944">
        <f t="shared" si="0"/>
        <v>0</v>
      </c>
      <c r="M13" s="944">
        <f t="shared" si="0"/>
        <v>0</v>
      </c>
      <c r="N13" s="942">
        <f t="shared" si="0"/>
        <v>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139</v>
      </c>
      <c r="AC13" s="942">
        <f t="shared" si="1"/>
        <v>0</v>
      </c>
      <c r="AD13" s="942">
        <f t="shared" si="1"/>
        <v>0</v>
      </c>
      <c r="AE13" s="942">
        <f t="shared" si="1"/>
        <v>0</v>
      </c>
      <c r="AF13" s="942">
        <f t="shared" si="1"/>
        <v>52</v>
      </c>
      <c r="AG13" s="942">
        <f t="shared" si="1"/>
        <v>0</v>
      </c>
      <c r="AH13" s="942">
        <f t="shared" si="1"/>
        <v>0</v>
      </c>
      <c r="AI13" s="942">
        <f t="shared" si="1"/>
        <v>0</v>
      </c>
      <c r="AJ13" s="942">
        <f t="shared" si="1"/>
        <v>0</v>
      </c>
      <c r="AK13" s="942">
        <f t="shared" si="1"/>
        <v>0</v>
      </c>
      <c r="AL13" s="942">
        <f t="shared" si="1"/>
        <v>54</v>
      </c>
      <c r="AM13" s="942">
        <f t="shared" si="1"/>
        <v>50</v>
      </c>
      <c r="AN13" s="942">
        <f t="shared" si="1"/>
        <v>0</v>
      </c>
      <c r="AO13" s="942">
        <f t="shared" si="1"/>
        <v>0</v>
      </c>
      <c r="AP13" s="947">
        <f>IF(ISNUMBER(((Datos!L13/Datos!K13)*11)/factor_trimestre),((Datos!L13/Datos!K13)*11)/factor_trimestre," - ")</f>
        <v>6.9083424454878761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-3.7567567567567566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1.5276491877788065</v>
      </c>
      <c r="AQ18" s="947">
        <f>IF(ISNUMBER(((Datos!M18/Datos!L18)*11)/factor_trimestre),((Datos!M18/Datos!L18)*11)/factor_trimestre," - ")</f>
        <v>17.913333333333334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-0.21382636655948553</v>
      </c>
      <c r="AW18" s="949">
        <f>IF(ISNUMBER((Datos!Q18-Datos!R18)/(Datos!S18-Datos!Q18+Datos!R18)),(Datos!Q18-Datos!R18)/(Datos!S18-Datos!Q18+Datos!R18)," - ")</f>
        <v>1.1003401360544218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13</v>
      </c>
      <c r="F19" s="954">
        <f t="shared" si="4"/>
        <v>37</v>
      </c>
      <c r="G19" s="954">
        <f t="shared" si="4"/>
        <v>37</v>
      </c>
      <c r="H19" s="954">
        <f t="shared" si="4"/>
        <v>0</v>
      </c>
      <c r="I19" s="955">
        <f t="shared" si="4"/>
        <v>0</v>
      </c>
      <c r="J19" s="956">
        <f t="shared" si="4"/>
        <v>0</v>
      </c>
      <c r="K19" s="956">
        <f t="shared" si="4"/>
        <v>0</v>
      </c>
      <c r="L19" s="956">
        <f t="shared" si="4"/>
        <v>0</v>
      </c>
      <c r="M19" s="956">
        <f t="shared" si="4"/>
        <v>0</v>
      </c>
      <c r="N19" s="955">
        <f t="shared" si="4"/>
        <v>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139</v>
      </c>
      <c r="AC19" s="960">
        <f t="shared" si="5"/>
        <v>0</v>
      </c>
      <c r="AD19" s="960">
        <f t="shared" si="5"/>
        <v>0</v>
      </c>
      <c r="AE19" s="960">
        <f t="shared" si="5"/>
        <v>0</v>
      </c>
      <c r="AF19" s="961">
        <f t="shared" si="5"/>
        <v>52</v>
      </c>
      <c r="AG19" s="961">
        <f t="shared" si="5"/>
        <v>0</v>
      </c>
      <c r="AH19" s="961">
        <f t="shared" si="5"/>
        <v>0</v>
      </c>
      <c r="AI19" s="961">
        <f t="shared" si="5"/>
        <v>0</v>
      </c>
      <c r="AJ19" s="962">
        <f t="shared" si="5"/>
        <v>0</v>
      </c>
      <c r="AK19" s="962">
        <f t="shared" si="5"/>
        <v>0</v>
      </c>
      <c r="AL19" s="954">
        <f t="shared" si="5"/>
        <v>54</v>
      </c>
      <c r="AM19" s="954">
        <f t="shared" si="5"/>
        <v>50</v>
      </c>
      <c r="AN19" s="954">
        <f t="shared" si="5"/>
        <v>0</v>
      </c>
      <c r="AO19" s="954">
        <f t="shared" si="5"/>
        <v>0</v>
      </c>
      <c r="AP19" s="954">
        <f>IF(ISNUMBER(((Datos!L19/Datos!K19)*11)/factor_trimestre),((Datos!L19/Datos!K19)*11)/factor_trimestre," - ")</f>
        <v>4.577584949686452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-3.7567567567567566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-0.19922450562233424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5.6803755744375444</v>
      </c>
      <c r="F21" s="739">
        <f>IF(ISNUMBER(STDEV(F8:F18)),STDEV(F8:F18),"-")</f>
        <v>21.361959960016154</v>
      </c>
      <c r="G21" s="740">
        <f>IF(ISNUMBER(STDEV(G8:G18)),STDEV(G8:G18),"-")</f>
        <v>21.361959960016154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80.251687417357985</v>
      </c>
      <c r="AC21" s="741">
        <f>IF(ISNUMBER(STDEV(AC8:AC18)),STDEV(AC8:AC18),"-")</f>
        <v>0</v>
      </c>
      <c r="AD21" s="744"/>
      <c r="AE21" s="744"/>
      <c r="AF21" s="744"/>
      <c r="AG21" s="744"/>
      <c r="AH21" s="744"/>
      <c r="AI21" s="744"/>
      <c r="AJ21" s="745">
        <f>IF(ISNUMBER(STDEV(AJ8:AJ18)),STDEV(AJ8:AJ18),"-")</f>
        <v>0</v>
      </c>
      <c r="AK21" s="747"/>
      <c r="AL21" s="739">
        <f>IF(ISNUMBER(STDEV(AL8:AL18)),STDEV(AL8:AL18),"-")</f>
        <v>31.176914536239792</v>
      </c>
      <c r="AM21" s="739"/>
      <c r="AN21" s="739">
        <f>IF(ISNUMBER(STDEV(AN8:AN18)),STDEV(AN8:AN18),"-")</f>
        <v>0</v>
      </c>
      <c r="AO21" s="745">
        <f>IF(ISNUMBER(STDEV(AO8:AO18)),STDEV(AO8:AO18),"-")</f>
        <v>0</v>
      </c>
      <c r="AP21" s="782">
        <f>IF(ISNUMBER(STDEV(AP8:AP18)),STDEV(AP8:AP18),"-")</f>
        <v>2.6910023455175742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KGopB6gycR50QeRMQGl2GY92QGsh4H9J2MO001H24ClRrNMHML6uTYUg52SN65Ab1Z6URmLwjpZt37ruEzNjA==" saltValue="+G34Gr6Ehclr+5JWp60t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SANTANDER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10</v>
      </c>
      <c r="D9" s="406">
        <f>Datos!BK9</f>
        <v>0</v>
      </c>
      <c r="E9" s="406">
        <f>Datos!AQ9</f>
        <v>10</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sVb62nDIiP2ARxoo7K/ulAO5+NPwpk6F2MSWf8Nh01Y9yjLJK83lZICyiXRTI2JB7qIYkgxLODj8H0+rLm9ew==" saltValue="JYGzFWJYQ/p+SCRk9TRT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SANTANDER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10</v>
      </c>
      <c r="C9" s="413">
        <f>Datos!AQ9</f>
        <v>10</v>
      </c>
      <c r="D9" s="406">
        <f>IF(ISNUMBER(Datos!M9),Datos!M9," - ")</f>
        <v>6173</v>
      </c>
      <c r="E9" s="407">
        <f t="shared" ref="E9:E13" si="0">IF(ISNUMBER(D9/B9),D9/B9," - ")</f>
        <v>617.29999999999995</v>
      </c>
      <c r="F9" s="406">
        <f>IF(ISNUMBER(Datos!N9),Datos!N9," - ")</f>
        <v>4315</v>
      </c>
      <c r="G9" s="407">
        <f t="shared" ref="G9:G13" si="1">IF(ISNUMBER(F9/B9),F9/B9," - ")</f>
        <v>431.5</v>
      </c>
      <c r="H9" s="406">
        <f>IF(ISNUMBER(Datos!O9),Datos!O9," - ")</f>
        <v>5494</v>
      </c>
      <c r="I9" s="407">
        <f>IF(ISNUMBER(H9/B9),H9/B9," - ")</f>
        <v>549.4</v>
      </c>
    </row>
    <row r="10" spans="1:9">
      <c r="A10" s="405" t="str">
        <f>Datos!A10</f>
        <v>Jdos. Violencia contra la mujer</v>
      </c>
      <c r="B10" s="430">
        <f>Datos!AO10</f>
        <v>1</v>
      </c>
      <c r="C10" s="413">
        <f>Datos!AQ10</f>
        <v>1</v>
      </c>
      <c r="D10" s="406">
        <f>IF(ISNUMBER(Datos!M10),Datos!M10," - ")</f>
        <v>54</v>
      </c>
      <c r="E10" s="407">
        <f>IF(ISNUMBER(D10/B10),D10/B10," - ")</f>
        <v>54</v>
      </c>
      <c r="F10" s="406">
        <f>IF(ISNUMBER(Datos!N10),Datos!N10," - ")</f>
        <v>50</v>
      </c>
      <c r="G10" s="407">
        <f>IF(ISNUMBER(F10/B10),F10/B10," - ")</f>
        <v>50</v>
      </c>
      <c r="H10" s="406">
        <f>IF(ISNUMBER(Datos!O10),Datos!O10," - ")</f>
        <v>40</v>
      </c>
      <c r="I10" s="407">
        <f t="shared" ref="I10:I12" si="2">IF(ISNUMBER(H10/B10),H10/B10," - ")</f>
        <v>40</v>
      </c>
    </row>
    <row r="11" spans="1:9">
      <c r="A11" s="405" t="str">
        <f>Datos!A11</f>
        <v xml:space="preserve">Jdos. Familia                                   </v>
      </c>
      <c r="B11" s="430">
        <f>Datos!AO11</f>
        <v>2</v>
      </c>
      <c r="C11" s="413">
        <f>Datos!AQ11</f>
        <v>2</v>
      </c>
      <c r="D11" s="406">
        <f>IF(ISNUMBER(Datos!M11),Datos!M11," - ")</f>
        <v>536</v>
      </c>
      <c r="E11" s="407">
        <f t="shared" si="0"/>
        <v>268</v>
      </c>
      <c r="F11" s="406">
        <f>IF(ISNUMBER(Datos!N11),Datos!N11," - ")</f>
        <v>1338</v>
      </c>
      <c r="G11" s="407">
        <f t="shared" si="1"/>
        <v>669</v>
      </c>
      <c r="H11" s="406">
        <f>IF(ISNUMBER(Datos!O11),Datos!O11," - ")</f>
        <v>658</v>
      </c>
      <c r="I11" s="407">
        <f t="shared" si="2"/>
        <v>329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13</v>
      </c>
      <c r="C13" s="854">
        <f>Datos!AR13</f>
        <v>13</v>
      </c>
      <c r="D13" s="852">
        <f>SUBTOTAL(9,D9:D12)</f>
        <v>6763</v>
      </c>
      <c r="E13" s="853">
        <f t="shared" si="0"/>
        <v>520.23076923076928</v>
      </c>
      <c r="F13" s="852">
        <f>SUBTOTAL(9,F9:F12)</f>
        <v>5703</v>
      </c>
      <c r="G13" s="853">
        <f t="shared" si="1"/>
        <v>438.69230769230768</v>
      </c>
      <c r="H13" s="852">
        <f>SUBTOTAL(9,H9:H12)</f>
        <v>6192</v>
      </c>
      <c r="I13" s="853">
        <f>IF(ISNUMBER(H13/B13),H13/B13," - ")</f>
        <v>476.30769230769232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2513</v>
      </c>
      <c r="E15" s="407">
        <f t="shared" ref="E15:E18" si="3">IF(ISNUMBER(D15/B15),D15/B15," - ")</f>
        <v>502.6</v>
      </c>
      <c r="F15" s="406">
        <f>IF(ISNUMBER(Datos!N15),Datos!N15," - ")</f>
        <v>5094</v>
      </c>
      <c r="G15" s="407">
        <f t="shared" ref="G15:G18" si="4">IF(ISNUMBER(F15/B15),F15/B15," - ")</f>
        <v>1018.8</v>
      </c>
      <c r="H15" s="406">
        <f>IF(ISNUMBER(Datos!O15),Datos!O15," - ")</f>
        <v>654</v>
      </c>
      <c r="I15" s="407">
        <f t="shared" ref="I15:I17" si="5">IF(ISNUMBER(H15/B15),H15/B15," - ")</f>
        <v>130.80000000000001</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174</v>
      </c>
      <c r="E17" s="407">
        <f>IF(ISNUMBER(D17/B17),D17/B17," - ")</f>
        <v>174</v>
      </c>
      <c r="F17" s="406">
        <f>IF(ISNUMBER(Datos!N17),Datos!N17," - ")</f>
        <v>794</v>
      </c>
      <c r="G17" s="407">
        <f>IF(ISNUMBER(F17/B17),F17/B17," - ")</f>
        <v>794</v>
      </c>
      <c r="H17" s="406">
        <f>IF(ISNUMBER(Datos!O17),Datos!O17," - ")</f>
        <v>13</v>
      </c>
      <c r="I17" s="407">
        <f t="shared" si="5"/>
        <v>13</v>
      </c>
    </row>
    <row r="18" spans="1:9" ht="14.25" thickTop="1" thickBot="1">
      <c r="A18" s="851" t="str">
        <f>Datos!A18</f>
        <v>TOTAL</v>
      </c>
      <c r="B18" s="852">
        <f>Datos!AO18</f>
        <v>6</v>
      </c>
      <c r="C18" s="854">
        <f>Datos!AR18</f>
        <v>6</v>
      </c>
      <c r="D18" s="852">
        <f>SUBTOTAL(9,D15:D17)</f>
        <v>2687</v>
      </c>
      <c r="E18" s="853">
        <f t="shared" si="3"/>
        <v>447.83333333333331</v>
      </c>
      <c r="F18" s="852">
        <f>SUBTOTAL(9,F15:F17)</f>
        <v>5888</v>
      </c>
      <c r="G18" s="853">
        <f t="shared" si="4"/>
        <v>981.33333333333337</v>
      </c>
      <c r="H18" s="852">
        <f>SUBTOTAL(9,H15:H17)</f>
        <v>667</v>
      </c>
      <c r="I18" s="853">
        <f>IF(ISNUMBER(H18/B18),H18/B18," - ")</f>
        <v>111.16666666666667</v>
      </c>
    </row>
    <row r="19" spans="1:9" ht="14.25" thickTop="1" thickBot="1">
      <c r="A19" s="796" t="str">
        <f>Datos!A19</f>
        <v>TOTAL JURISDICCIONES</v>
      </c>
      <c r="B19" s="797">
        <f>Datos!AP19</f>
        <v>18</v>
      </c>
      <c r="C19" s="797">
        <f>Datos!AR19</f>
        <v>18</v>
      </c>
      <c r="D19" s="797">
        <f>SUBTOTAL(9,D8:D18)</f>
        <v>9450</v>
      </c>
      <c r="E19" s="798">
        <f>IF(ISNUMBER(D19/B19),D19/B19," - ")</f>
        <v>525</v>
      </c>
      <c r="F19" s="797">
        <f>SUBTOTAL(9,F8:F18)</f>
        <v>11591</v>
      </c>
      <c r="G19" s="798">
        <f>IF(ISNUMBER(F19/B19),F19/B19," - ")</f>
        <v>643.94444444444446</v>
      </c>
      <c r="H19" s="797">
        <f>SUBTOTAL(9,H8:H18)</f>
        <v>6859</v>
      </c>
      <c r="I19" s="798">
        <f>IF(ISNUMBER(H19/B19),H19/B19," - ")</f>
        <v>381.05555555555554</v>
      </c>
    </row>
    <row r="22" spans="1:9">
      <c r="A22" s="394" t="str">
        <f>Criterios!A4</f>
        <v>Fecha Informe: 03 may. 2024</v>
      </c>
    </row>
    <row r="27" spans="1:9">
      <c r="A27" s="417"/>
    </row>
  </sheetData>
  <sheetProtection algorithmName="SHA-512" hashValue="pkZKXqH5nQQEDLmK2sLSBie2XCdZfdhImiLwV91cJVbWPm2MQ8gkrDkF+VHuR6yZFhgNVQ74MF2jvcK1XfxGmw==" saltValue="rccTBr0GhfXPZYfJJxHP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SANTANDER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2541</v>
      </c>
      <c r="C9" s="437">
        <f>IF(ISNUMBER(Datos!Q9),Datos!Q9," - ")</f>
        <v>4944</v>
      </c>
      <c r="D9" s="411">
        <f>IF(ISNUMBER(Datos!R9),Datos!R9," - ")</f>
        <v>9034</v>
      </c>
    </row>
    <row r="10" spans="1:4">
      <c r="A10" s="405" t="str">
        <f>Datos!A10</f>
        <v>Jdos. Violencia contra la mujer</v>
      </c>
      <c r="B10" s="436">
        <f>IF(ISNUMBER(Datos!P10),Datos!P10," - ")</f>
        <v>46</v>
      </c>
      <c r="C10" s="437">
        <f>IF(ISNUMBER(Datos!Q10),Datos!Q10," - ")</f>
        <v>27</v>
      </c>
      <c r="D10" s="411">
        <f>IF(ISNUMBER(Datos!R10),Datos!R10," - ")</f>
        <v>91</v>
      </c>
    </row>
    <row r="11" spans="1:4">
      <c r="A11" s="405" t="str">
        <f>Datos!A11</f>
        <v xml:space="preserve">Jdos. Familia                                   </v>
      </c>
      <c r="B11" s="436">
        <f>IF(ISNUMBER(Datos!P11),Datos!P11," - ")</f>
        <v>228</v>
      </c>
      <c r="C11" s="437">
        <f>IF(ISNUMBER(Datos!Q11),Datos!Q11," - ")</f>
        <v>280</v>
      </c>
      <c r="D11" s="411">
        <f>IF(ISNUMBER(Datos!R11),Datos!R11," - ")</f>
        <v>712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2815</v>
      </c>
      <c r="C13" s="856">
        <f>SUBTOTAL(9,C9:C12)</f>
        <v>5251</v>
      </c>
      <c r="D13" s="854">
        <f>SUBTOTAL(9,D9:D12)</f>
        <v>9837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982</v>
      </c>
      <c r="C15" s="437">
        <f>IF(ISNUMBER(Datos!Q15),Datos!Q15," - ")</f>
        <v>1115</v>
      </c>
      <c r="D15" s="411">
        <f>IF(ISNUMBER(Datos!R15),Datos!R15," - ")</f>
        <v>480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21</v>
      </c>
      <c r="C17" s="437">
        <f>IF(ISNUMBER(Datos!Q17),Datos!Q17," - ")</f>
        <v>21</v>
      </c>
      <c r="D17" s="411">
        <f>IF(ISNUMBER(Datos!R17),Datos!R17," - ")</f>
        <v>9</v>
      </c>
    </row>
    <row r="18" spans="1:4" ht="14.25" thickTop="1" thickBot="1">
      <c r="A18" s="851" t="str">
        <f>Datos!A18</f>
        <v>TOTAL</v>
      </c>
      <c r="B18" s="852">
        <f>SUBTOTAL(9,B15:B17)</f>
        <v>1003</v>
      </c>
      <c r="C18" s="856">
        <f>SUBTOTAL(9,C15:C17)</f>
        <v>1136</v>
      </c>
      <c r="D18" s="854">
        <f>SUBTOTAL(9,D15:D17)</f>
        <v>489</v>
      </c>
    </row>
    <row r="19" spans="1:4" ht="16.5" customHeight="1" thickTop="1" thickBot="1">
      <c r="A19" s="796" t="str">
        <f>Datos!A19</f>
        <v>TOTAL JURISDICCIONES</v>
      </c>
      <c r="B19" s="801">
        <f>SUBTOTAL(9,B8:B18)</f>
        <v>3818</v>
      </c>
      <c r="C19" s="802">
        <f>SUBTOTAL(9,C8:C18)</f>
        <v>6387</v>
      </c>
      <c r="D19" s="803">
        <f>SUBTOTAL(9,D8:D18)</f>
        <v>10326</v>
      </c>
    </row>
    <row r="20" spans="1:4" ht="7.5" customHeight="1"/>
    <row r="21" spans="1:4" ht="6" customHeight="1"/>
    <row r="22" spans="1:4">
      <c r="A22" s="394" t="str">
        <f>Criterios!A4</f>
        <v>Fecha Informe: 03 may. 2024</v>
      </c>
    </row>
    <row r="27" spans="1:4">
      <c r="A27" s="417"/>
    </row>
  </sheetData>
  <sheetProtection algorithmName="SHA-512" hashValue="SU1T/keKLM3W4FGagOMolLyFNwH6m8oNuE4VzGNQ94O4G12mN3g0aq6VewHbL2o1J7gz3MKy0N1qy1z+w1Gs0Q==" saltValue="j+PvjqnrB66eyIkDdl3e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SANTANDER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2.3232117383329937E-2</v>
      </c>
      <c r="C9" s="459">
        <f>IF(ISNUMBER(
   IF(J_V="SI",(Datos!J9-Datos!T9)/Datos!T9,(Datos!J9+Datos!Z9-(Datos!T9+Datos!AH9))/(Datos!T9+Datos!AH9))
     ),IF(J_V="SI",(Datos!J9-Datos!T9)/Datos!T9,(Datos!J9+Datos!Z9-(Datos!T9+Datos!AH9))/(Datos!T9+Datos!AH9))," - ")</f>
        <v>-0.18799526907155528</v>
      </c>
      <c r="D9" s="459">
        <f>IF(ISNUMBER(
   IF(J_V="SI",(Datos!K9-Datos!U9)/Datos!U9,(Datos!K9+Datos!AA9-(Datos!U9+Datos!AI9))/(Datos!U9+Datos!AI9))
     ),IF(J_V="SI",(Datos!K9-Datos!U9)/Datos!U9,(Datos!K9+Datos!AA9-(Datos!U9+Datos!AI9))/(Datos!U9+Datos!AI9))," - ")</f>
        <v>-0.1156031337838646</v>
      </c>
      <c r="E9" s="459">
        <f>IF(ISNUMBER(
   IF(J_V="SI",(Datos!L9-Datos!V9)/Datos!V9,(Datos!L9+Datos!AB9-(Datos!V9+Datos!AJ9))/(Datos!V9+Datos!AJ9))
     ),IF(J_V="SI",(Datos!L9-Datos!V9)/Datos!V9,(Datos!L9+Datos!AB9-(Datos!V9+Datos!AJ9))/(Datos!V9+Datos!AJ9))," - ")</f>
        <v>-7.5283808006373229E-2</v>
      </c>
      <c r="F9" s="459">
        <f>IF(ISNUMBER((Datos!M9-Datos!W9)/Datos!W9),(Datos!M9-Datos!W9)/Datos!W9," - ")</f>
        <v>0.1328684162231602</v>
      </c>
      <c r="G9" s="460">
        <f>IF(ISNUMBER((Datos!N9-Datos!X9)/Datos!X9),(Datos!N9-Datos!X9)/Datos!X9," - ")</f>
        <v>-0.13906624102154827</v>
      </c>
      <c r="H9" s="458">
        <f>IF(ISNUMBER(((NºAsuntos!G9/NºAsuntos!E9)-Datos!BD9)/Datos!BD9),((NºAsuntos!G9/NºAsuntos!E9)-Datos!BD9)/Datos!BD9," - ")</f>
        <v>8.9152356544668909E-2</v>
      </c>
      <c r="I9" s="459">
        <f>IF(ISNUMBER(((NºAsuntos!I9/NºAsuntos!G9)-Datos!BE9)/Datos!BE9),((NºAsuntos!I9/NºAsuntos!G9)-Datos!BE9)/Datos!BE9," - ")</f>
        <v>4.5589629857007895E-2</v>
      </c>
      <c r="J9" s="464">
        <f>IF(ISNUMBER((('Resol  Asuntos'!D9/NºAsuntos!G9)-Datos!BF9)/Datos!BF9),(('Resol  Asuntos'!D9/NºAsuntos!G9)-Datos!BF9)/Datos!BF9," - ")</f>
        <v>0.39263728911580542</v>
      </c>
      <c r="K9" s="465">
        <f>IF(ISNUMBER((((NºAsuntos!C9+NºAsuntos!E9)/NºAsuntos!G9)-Datos!BG9)/Datos!BG9),(((NºAsuntos!C9+NºAsuntos!E9)/NºAsuntos!G9)-Datos!BG9)/Datos!BG9," - ")</f>
        <v>5.8548915274410796E-3</v>
      </c>
    </row>
    <row r="10" spans="1:11">
      <c r="A10" s="405" t="str">
        <f>Datos!A10</f>
        <v>Jdos. Violencia contra la mujer</v>
      </c>
      <c r="B10" s="458">
        <f>IF(ISNUMBER((Datos!I10-Datos!S10)/Datos!S10),(Datos!I10-Datos!S10)/Datos!S10," - ")</f>
        <v>-9.7560975609756101E-2</v>
      </c>
      <c r="C10" s="459">
        <f>IF(ISNUMBER((Datos!J10-Datos!T10)/Datos!T10),(Datos!J10-Datos!T10)/Datos!T10," - ")</f>
        <v>0.36283185840707965</v>
      </c>
      <c r="D10" s="459">
        <f>IF(ISNUMBER((Datos!K10-Datos!U10)/Datos!U10),(Datos!K10-Datos!U10)/Datos!U10," - ")</f>
        <v>0.18803418803418803</v>
      </c>
      <c r="E10" s="459">
        <f>IF(ISNUMBER((Datos!L10-Datos!V10)/Datos!V10),(Datos!L10-Datos!V10)/Datos!V10," - ")</f>
        <v>0.40540540540540543</v>
      </c>
      <c r="F10" s="459">
        <f>IF(ISNUMBER((Datos!M10-Datos!W10)/Datos!W10),(Datos!M10-Datos!W10)/Datos!W10," - ")</f>
        <v>5.8823529411764705E-2</v>
      </c>
      <c r="G10" s="460">
        <f>IF(ISNUMBER((Datos!N10-Datos!X10)/Datos!X10),(Datos!N10-Datos!X10)/Datos!X10," - ")</f>
        <v>0.51515151515151514</v>
      </c>
      <c r="H10" s="458">
        <f>IF(ISNUMBER(((NºAsuntos!G10/NºAsuntos!E10)-Datos!BD10)/Datos!BD10),((NºAsuntos!G10/NºAsuntos!E10)-Datos!BD10)/Datos!BD10," - ")</f>
        <v>-0.12826062826062828</v>
      </c>
      <c r="I10" s="459">
        <f>IF(ISNUMBER(((NºAsuntos!I10/NºAsuntos!G10)-Datos!BE10)/Datos!BE10),((NºAsuntos!I10/NºAsuntos!G10)-Datos!BE10)/Datos!BE10," - ")</f>
        <v>0.18296713980167223</v>
      </c>
      <c r="J10" s="464">
        <f>IF(ISNUMBER((('Resol  Asuntos'!D10/NºAsuntos!G10)-Datos!BF10)/Datos!BF10),(('Resol  Asuntos'!D10/NºAsuntos!G10)-Datos!BF10)/Datos!BF10," - ")</f>
        <v>-0.10876005078290304</v>
      </c>
      <c r="K10" s="465">
        <f>IF(ISNUMBER((((NºAsuntos!C10+NºAsuntos!E10)/NºAsuntos!G10)-Datos!BG10)/Datos!BG10),(((NºAsuntos!C10+NºAsuntos!E10)/NºAsuntos!G10)-Datos!BG10)/Datos!BG10," - ")</f>
        <v>4.3959637484817272E-2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-5.8353317346123104E-2</v>
      </c>
      <c r="C11" s="459">
        <f>IF(ISNUMBER(
   IF(J_V="SI",(Datos!J11-Datos!T11)/Datos!T11,(Datos!J11+Datos!Z11-(Datos!T11+Datos!AH11))/(Datos!T11+Datos!AH11))
     ),IF(J_V="SI",(Datos!J11-Datos!T11)/Datos!T11,(Datos!J11+Datos!Z11-(Datos!T11+Datos!AH11))/(Datos!T11+Datos!AH11))," - ")</f>
        <v>-0.11278485901892622</v>
      </c>
      <c r="D11" s="459">
        <f>IF(ISNUMBER(
   IF(J_V="SI",(Datos!K11-Datos!U11)/Datos!U11,(Datos!K11+Datos!AA11-(Datos!U11+Datos!AI11))/(Datos!U11+Datos!AI11))
     ),IF(J_V="SI",(Datos!K11-Datos!U11)/Datos!U11,(Datos!K11+Datos!AA11-(Datos!U11+Datos!AI11))/(Datos!U11+Datos!AI11))," - ")</f>
        <v>-0.16678939617083946</v>
      </c>
      <c r="E11" s="459">
        <f>IF(ISNUMBER(
   IF(J_V="SI",(Datos!L11-Datos!V11)/Datos!V11,(Datos!L11+Datos!AB11-(Datos!V11+Datos!AJ11))/(Datos!V11+Datos!AJ11))
     ),IF(J_V="SI",(Datos!L11-Datos!V11)/Datos!V11,(Datos!L11+Datos!AB11-(Datos!V11+Datos!AJ11))/(Datos!V11+Datos!AJ11))," - ")</f>
        <v>-0.15449915110356535</v>
      </c>
      <c r="F11" s="459">
        <f>IF(ISNUMBER((Datos!M11-Datos!W11)/Datos!W11),(Datos!M11-Datos!W11)/Datos!W11," - ")</f>
        <v>-0.2</v>
      </c>
      <c r="G11" s="460">
        <f>IF(ISNUMBER((Datos!N11-Datos!X11)/Datos!X11),(Datos!N11-Datos!X11)/Datos!X11," - ")</f>
        <v>-5.7082452431289642E-2</v>
      </c>
      <c r="H11" s="458">
        <f>IF(ISNUMBER(((NºAsuntos!G11/NºAsuntos!E11)-Datos!BD11)/Datos!BD11),((NºAsuntos!G11/NºAsuntos!E11)-Datos!BD11)/Datos!BD11," - ")</f>
        <v>-6.0869719933088089E-2</v>
      </c>
      <c r="I11" s="459">
        <f>IF(ISNUMBER(((NºAsuntos!I11/NºAsuntos!G11)-Datos!BE11)/Datos!BE11),((NºAsuntos!I11/NºAsuntos!G11)-Datos!BE11)/Datos!BE11," - ")</f>
        <v>1.4750466461651037E-2</v>
      </c>
      <c r="J11" s="464">
        <f>IF(ISNUMBER((('Resol  Asuntos'!D11/NºAsuntos!G11)-Datos!BF11)/Datos!BF11),(('Resol  Asuntos'!D11/NºAsuntos!G11)-Datos!BF11)/Datos!BF11," - ")</f>
        <v>-0.5466562780172004</v>
      </c>
      <c r="K11" s="465">
        <f>IF(ISNUMBER((((NºAsuntos!C11+NºAsuntos!E11)/NºAsuntos!G11)-Datos!BG11)/Datos!BG11),(((NºAsuntos!C11+NºAsuntos!E11)/NºAsuntos!G11)-Datos!BG11)/Datos!BG11," - ")</f>
        <v>8.6097455442627785E-2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1.3596254276967404E-2</v>
      </c>
      <c r="C13" s="858">
        <f>IF(ISNUMBER(
   IF(J_V="SI",(Datos!J13-Datos!T13)/Datos!T13,(Datos!J13+Datos!Z13-(Datos!T13+Datos!AH13))/(Datos!T13+Datos!AH13))
     ),IF(J_V="SI",(Datos!J13-Datos!T13)/Datos!T13,(Datos!J13+Datos!Z13-(Datos!T13+Datos!AH13))/(Datos!T13+Datos!AH13))," - ")</f>
        <v>-0.1748929227003875</v>
      </c>
      <c r="D13" s="858">
        <f>IF(ISNUMBER(
   IF(J_V="SI",(Datos!K13-Datos!U13)/Datos!U13,(Datos!K13+Datos!AA13-(Datos!U13+Datos!AI13))/(Datos!U13+Datos!AI13))
     ),IF(J_V="SI",(Datos!K13-Datos!U13)/Datos!U13,(Datos!K13+Datos!AA13-(Datos!U13+Datos!AI13))/(Datos!U13+Datos!AI13))," - ")</f>
        <v>-0.12089598036207426</v>
      </c>
      <c r="E13" s="858">
        <f>IF(ISNUMBER(
   IF(J_V="SI",(Datos!L13-Datos!V13)/Datos!V13,(Datos!L13+Datos!AB13-(Datos!V13+Datos!AJ13))/(Datos!V13+Datos!AJ13))
     ),IF(J_V="SI",(Datos!L13-Datos!V13)/Datos!V13,(Datos!L13+Datos!AB13-(Datos!V13+Datos!AJ13))/(Datos!V13+Datos!AJ13))," - ")</f>
        <v>-8.199342631251666E-2</v>
      </c>
      <c r="F13" s="859">
        <f>IF(ISNUMBER((Datos!M13-Datos!W13)/Datos!W13),(Datos!M13-Datos!W13)/Datos!W13," - ")</f>
        <v>9.6110210696920578E-2</v>
      </c>
      <c r="G13" s="860">
        <f>IF(ISNUMBER((Datos!N13-Datos!X13)/Datos!X13),(Datos!N13-Datos!X13)/Datos!X13," - ")</f>
        <v>-0.1177289603960396</v>
      </c>
      <c r="H13" s="860">
        <f>IF(ISNUMBER(((NºAsuntos!G13/NºAsuntos!E13)-Datos!BD13)/Datos!BD13),((NºAsuntos!G13/NºAsuntos!E13)-Datos!BD13)/Datos!BD13," - ")</f>
        <v>6.5442345392349513E-2</v>
      </c>
      <c r="I13" s="860">
        <f>IF(ISNUMBER(((NºAsuntos!I13/NºAsuntos!G13)-Datos!BE13)/Datos!BE13),((NºAsuntos!I13/NºAsuntos!G13)-Datos!BE13)/Datos!BE13," - ")</f>
        <v>4.4252503890927684E-2</v>
      </c>
      <c r="J13" s="860">
        <f>IF(ISNUMBER((('Resol  Asuntos'!D13/NºAsuntos!G13)-Datos!BF13)/Datos!BF13),(('Resol  Asuntos'!D13/NºAsuntos!G13)-Datos!BF13)/Datos!BF13," - ")</f>
        <v>0.1868343157827852</v>
      </c>
      <c r="K13" s="860">
        <f>IF(ISNUMBER((((NºAsuntos!C13+NºAsuntos!E13)/NºAsuntos!G13)-Datos!BG13)/Datos!BG13),(((NºAsuntos!C13+NºAsuntos!E13)/NºAsuntos!G13)-Datos!BG13)/Datos!BG13," - ")</f>
        <v>1.6096786315008611E-2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0.12889273356401384</v>
      </c>
      <c r="C15" s="459">
        <f>IF(ISNUMBER(
   IF(D_I="SI",(Datos!J15-Datos!T15)/Datos!T15,(Datos!J15+Datos!AD15-(Datos!T15+Datos!AL15))/(Datos!T15+Datos!AL15))
     ),IF(D_I="SI",(Datos!J15-Datos!T15)/Datos!T15,(Datos!J15+Datos!AD15-(Datos!T15+Datos!AL15))/(Datos!T15+Datos!AL15))," - ")</f>
        <v>4.6658758402530642E-2</v>
      </c>
      <c r="D15" s="459">
        <f>IF(ISNUMBER(
   IF(D_I="SI",(Datos!K15-Datos!U15)/Datos!U15,(Datos!K15+Datos!AE15-(Datos!U15+Datos!AM15))/(Datos!U15+Datos!AM15))
     ),IF(D_I="SI",(Datos!K15-Datos!U15)/Datos!U15,(Datos!K15+Datos!AE15-(Datos!U15+Datos!AM15))/(Datos!U15+Datos!AM15))," - ")</f>
        <v>2.3861821086261982E-2</v>
      </c>
      <c r="E15" s="459">
        <f>IF(ISNUMBER(
   IF(D_I="SI",(Datos!L15-Datos!V15)/Datos!V15,(Datos!L15+Datos!AF15-(Datos!V15+Datos!AN15))/(Datos!V15+Datos!AN15))
     ),IF(D_I="SI",(Datos!L15-Datos!V15)/Datos!V15,(Datos!L15+Datos!AF15-(Datos!V15+Datos!AN15))/(Datos!V15+Datos!AN15))," - ")</f>
        <v>0.19616858237547893</v>
      </c>
      <c r="F15" s="459">
        <f>IF(ISNUMBER((Datos!M15-Datos!W15)/Datos!W15),(Datos!M15-Datos!W15)/Datos!W15," - ")</f>
        <v>7.6182838813151563E-3</v>
      </c>
      <c r="G15" s="460">
        <f>IF(ISNUMBER((Datos!N15-Datos!X15)/Datos!X15),(Datos!N15-Datos!X15)/Datos!X15," - ")</f>
        <v>-6.3086260805591321E-2</v>
      </c>
      <c r="H15" s="458">
        <f>IF(ISNUMBER(((NºAsuntos!G15/NºAsuntos!E15)-Datos!BD15)/Datos!BD15),((NºAsuntos!G15/NºAsuntos!E15)-Datos!BD15)/Datos!BD15," - ")</f>
        <v>-2.1780677927028116E-2</v>
      </c>
      <c r="I15" s="459">
        <f>IF(ISNUMBER(((NºAsuntos!I15/NºAsuntos!G15)-Datos!BE15)/Datos!BE15),((NºAsuntos!I15/NºAsuntos!G15)-Datos!BE15)/Datos!BE15," - ")</f>
        <v>0.16829103082133551</v>
      </c>
      <c r="J15" s="464">
        <f>IF(ISNUMBER((('Resol  Asuntos'!D15/NºAsuntos!G15)-Datos!BF15)/Datos!BF15),(('Resol  Asuntos'!D15/NºAsuntos!G15)-Datos!BF15)/Datos!BF15," - ")</f>
        <v>-1.5864970126255214E-2</v>
      </c>
      <c r="K15" s="465">
        <f>IF(ISNUMBER((((NºAsuntos!C15+NºAsuntos!E15)/NºAsuntos!G15)-Datos!BG15)/Datos!BG15),(((NºAsuntos!C15+NºAsuntos!E15)/NºAsuntos!G15)-Datos!BG15)/Datos!BG15," - ")</f>
        <v>3.0502595455349144E-2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-0.11392405063291139</v>
      </c>
      <c r="C17" s="459">
        <f>IF(ISNUMBER(
   IF(D_I="SI",(Datos!J17-Datos!T17)/Datos!T17,(Datos!J17+Datos!AD17-(Datos!T17+Datos!AL17))/(Datos!T17+Datos!AL17))
     ),IF(D_I="SI",(Datos!J17-Datos!T17)/Datos!T17,(Datos!J17+Datos!AD17-(Datos!T17+Datos!AL17))/(Datos!T17+Datos!AL17))," - ")</f>
        <v>0.14175977653631286</v>
      </c>
      <c r="D17" s="459">
        <f>IF(ISNUMBER(
   IF(D_I="SI",(Datos!K17-Datos!U17)/Datos!U17,(Datos!K17+Datos!AE17-(Datos!U17+Datos!AM17))/(Datos!U17+Datos!AM17))
     ),IF(D_I="SI",(Datos!K17-Datos!U17)/Datos!U17,(Datos!K17+Datos!AE17-(Datos!U17+Datos!AM17))/(Datos!U17+Datos!AM17))," - ")</f>
        <v>0.12137931034482759</v>
      </c>
      <c r="E17" s="459">
        <f>IF(ISNUMBER(
   IF(D_I="SI",(Datos!L17-Datos!V17)/Datos!V17,(Datos!L17+Datos!AF17-(Datos!V17+Datos!AN17))/(Datos!V17+Datos!AN17))
     ),IF(D_I="SI",(Datos!L17-Datos!V17)/Datos!V17,(Datos!L17+Datos!AF17-(Datos!V17+Datos!AN17))/(Datos!V17+Datos!AN17))," - ")</f>
        <v>0.27142857142857141</v>
      </c>
      <c r="F17" s="459">
        <f>IF(ISNUMBER((Datos!M17-Datos!W17)/Datos!W17),(Datos!M17-Datos!W17)/Datos!W17," - ")</f>
        <v>5.4545454545454543E-2</v>
      </c>
      <c r="G17" s="460">
        <f>IF(ISNUMBER((Datos!N17-Datos!X17)/Datos!X17),(Datos!N17-Datos!X17)/Datos!X17," - ")</f>
        <v>2.5839793281653745E-2</v>
      </c>
      <c r="H17" s="458">
        <f>IF(ISNUMBER(((NºAsuntos!G17/NºAsuntos!E17)-Datos!BD17)/Datos!BD17),((NºAsuntos!G17/NºAsuntos!E17)-Datos!BD17)/Datos!BD17," - ")</f>
        <v>-1.7850047453337389E-2</v>
      </c>
      <c r="I17" s="459">
        <f>IF(ISNUMBER(((NºAsuntos!I17/NºAsuntos!G17)-Datos!BE17)/Datos!BE17),((NºAsuntos!I17/NºAsuntos!G17)-Datos!BE17)/Datos!BE17," - ")</f>
        <v>0.13380776664909511</v>
      </c>
      <c r="J17" s="464">
        <f>IF(ISNUMBER((('Resol  Asuntos'!D17/NºAsuntos!G17)-Datos!BF17)/Datos!BF17),(('Resol  Asuntos'!D17/NºAsuntos!G17)-Datos!BF17)/Datos!BF17," - ")</f>
        <v>-5.959968690596007E-2</v>
      </c>
      <c r="K17" s="465">
        <f>IF(ISNUMBER((((NºAsuntos!C17+NºAsuntos!E17)/NºAsuntos!G17)-Datos!BG17)/Datos!BG17),(((NºAsuntos!C17+NºAsuntos!E17)/NºAsuntos!G17)-Datos!BG17)/Datos!BG17," - ")</f>
        <v>6.2534444007575057E-3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0.11336032388663968</v>
      </c>
      <c r="C18" s="858">
        <f>IF(ISNUMBER(
   IF(Criterios!B14="SI",(Datos!J18-Datos!T18)/Datos!T18,(Datos!J18+Datos!AD18-(Datos!T18+Datos!AL18))/(Datos!T18+Datos!AL18))
     ),IF(Criterios!B14="SI",(Datos!J18-Datos!T18)/Datos!T18,(Datos!J18+Datos!AD18-(Datos!T18+Datos!AL18))/(Datos!T18+Datos!AL18))," - ")</f>
        <v>5.845167994457915E-2</v>
      </c>
      <c r="D18" s="858">
        <f>IF(ISNUMBER(
   IF(Criterios!B14="SI",(Datos!K18-Datos!U18)/Datos!U18,(Datos!K18+Datos!AE18-(Datos!U18+Datos!AM18))/(Datos!U18+Datos!AM18))
     ),IF(Criterios!B14="SI",(Datos!K18-Datos!U18)/Datos!U18,(Datos!K18+Datos!AE18-(Datos!U18+Datos!AM18))/(Datos!U18+Datos!AM18))," - ")</f>
        <v>3.6193964765393334E-2</v>
      </c>
      <c r="E18" s="858">
        <f>IF(ISNUMBER(
   IF(Criterios!B14="SI",(Datos!L18-Datos!V18)/Datos!V18,(Datos!L18+Datos!AF18-(Datos!V18+Datos!AN18))/(Datos!V18+Datos!AN18))
     ),IF(Criterios!B14="SI",(Datos!L18-Datos!V18)/Datos!V18,(Datos!L18+Datos!AF18-(Datos!V18+Datos!AN18))/(Datos!V18+Datos!AN18))," - ")</f>
        <v>0.2</v>
      </c>
      <c r="F18" s="859">
        <f>IF(ISNUMBER((Datos!M18-Datos!W18)/Datos!W18),(Datos!M18-Datos!W18)/Datos!W18," - ")</f>
        <v>1.0530274539300489E-2</v>
      </c>
      <c r="G18" s="860">
        <f>IF(ISNUMBER((Datos!N18-Datos!X18)/Datos!X18),(Datos!N18-Datos!X18)/Datos!X18," - ")</f>
        <v>-5.2004508130735788E-2</v>
      </c>
      <c r="H18" s="860">
        <f>IF(ISNUMBER(((NºAsuntos!G18/NºAsuntos!E18)-Datos!BD18)/Datos!BD18),((NºAsuntos!G18/NºAsuntos!E18)-Datos!BD18)/Datos!BD18," - ")</f>
        <v>-2.1028560491633638E-2</v>
      </c>
      <c r="I18" s="860">
        <f>IF(ISNUMBER(((NºAsuntos!I18/NºAsuntos!G18)-Datos!BE18)/Datos!BE18),((NºAsuntos!I18/NºAsuntos!G18)-Datos!BE18)/Datos!BE18," - ")</f>
        <v>0.1580843363353254</v>
      </c>
      <c r="J18" s="860">
        <f>IF(ISNUMBER((('Resol  Asuntos'!D18/NºAsuntos!G18)-Datos!BF18)/Datos!BF18),(('Resol  Asuntos'!D18/NºAsuntos!G18)-Datos!BF18)/Datos!BF18," - ")</f>
        <v>-2.4767264719500102E-2</v>
      </c>
      <c r="K18" s="860">
        <f>IF(ISNUMBER((((NºAsuntos!C18+NºAsuntos!E18)/NºAsuntos!G18)-Datos!BG18)/Datos!BG18),(((NºAsuntos!C18+NºAsuntos!E18)/NºAsuntos!G18)-Datos!BG18)/Datos!BG18," - ")</f>
        <v>2.6599833469435553E-2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2.3579936796045701E-2</v>
      </c>
      <c r="C19" s="805">
        <f>IF(ISNUMBER(
   IF(J_V="SI",(Datos!J19-Datos!T19)/Datos!T19,(Datos!J19+Datos!Z19-(Datos!T19+Datos!AH19))/(Datos!T19+Datos!AH19))
     ),IF(J_V="SI",(Datos!J19-Datos!T19)/Datos!T19,(Datos!J19+Datos!Z19-(Datos!T19+Datos!AH19))/(Datos!T19+Datos!AH19))," - ")</f>
        <v>-8.8414634146341459E-2</v>
      </c>
      <c r="D19" s="805">
        <f>IF(ISNUMBER(
   IF(J_V="SI",(Datos!K19-Datos!U19)/Datos!U19,(Datos!K19+Datos!AA19-(Datos!U19+Datos!AI19))/(Datos!U19+Datos!AI19))
     ),IF(J_V="SI",(Datos!K19-Datos!U19)/Datos!U19,(Datos!K19+Datos!AA19-(Datos!U19+Datos!AI19))/(Datos!U19+Datos!AI19))," - ")</f>
        <v>-6.2830431979368148E-2</v>
      </c>
      <c r="E19" s="805">
        <f>IF(ISNUMBER(
   IF(J_V="SI",(Datos!L19-Datos!V19)/Datos!V19,(Datos!L19+Datos!AB19-(Datos!V19+Datos!AJ19))/(Datos!V19+Datos!AJ19))
     ),IF(J_V="SI",(Datos!L19-Datos!V19)/Datos!V19,(Datos!L19+Datos!AB19-(Datos!V19+Datos!AJ19))/(Datos!V19+Datos!AJ19))," - ")</f>
        <v>-5.1298290056998097E-2</v>
      </c>
      <c r="F19" s="806">
        <f>IF(ISNUMBER((Datos!M19-Datos!W19)/Datos!W19),(Datos!M19-Datos!W19)/Datos!W19," - ")</f>
        <v>7.0336391437308868E-2</v>
      </c>
      <c r="G19" s="807">
        <f>IF(ISNUMBER((Datos!N19-Datos!X19)/Datos!X19),(Datos!N19-Datos!X19)/Datos!X19," - ")</f>
        <v>-8.5522682445759363E-2</v>
      </c>
      <c r="H19" s="808">
        <f>IF(ISNUMBER((Tasas!B19-Datos!BD19)/Datos!BD19),(Tasas!B19-Datos!BD19)/Datos!BD19," - ")</f>
        <v>2.8065613079489116E-2</v>
      </c>
      <c r="I19" s="809">
        <f>IF(ISNUMBER((Tasas!C19-Datos!BE19)/Datos!BE19),(Tasas!C19-Datos!BE19)/Datos!BE19," - ")</f>
        <v>1.2305288515425009E-2</v>
      </c>
      <c r="J19" s="810">
        <f>IF(ISNUMBER((Tasas!D19-Datos!BF19)/Datos!BF19),(Tasas!D19-Datos!BF19)/Datos!BF19," - ")</f>
        <v>0.10311279480450385</v>
      </c>
      <c r="K19" s="810">
        <f>IF(ISNUMBER((Tasas!E19-Datos!BG19)/Datos!BG19),(Tasas!E19-Datos!BG19)/Datos!BG19," - ")</f>
        <v>6.6029202752552639E-3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iOktDdMACnXvQT9OycKobTBvB5V24tW/W6lr/ZIvHnfMLWXfVXbrFAg480TtzWbGAHjDAdk+/n+/Od5+8ouEg==" saltValue="mJkxjqtRfkHBB4wJ/tHW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SANTANDER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1.0769790983905032</v>
      </c>
      <c r="C9" s="446">
        <f>IF(ISNUMBER(NºAsuntos!I9/NºAsuntos!G9),NºAsuntos!I9/NºAsuntos!G9," - ")</f>
        <v>0.62794157424939134</v>
      </c>
      <c r="D9" s="447">
        <f>IF(ISNUMBER('Resol  Asuntos'!D9/NºAsuntos!G9),'Resol  Asuntos'!D9/NºAsuntos!G9," - ")</f>
        <v>0.41743305382742762</v>
      </c>
      <c r="E9" s="448">
        <f>IF(ISNUMBER((NºAsuntos!C9+NºAsuntos!E9)/NºAsuntos!G9),(NºAsuntos!C9+NºAsuntos!E9)/NºAsuntos!G9," - ")</f>
        <v>1.6075872328915337</v>
      </c>
      <c r="G9" s="466"/>
    </row>
    <row r="10" spans="1:7">
      <c r="A10" s="405" t="str">
        <f>Datos!A10</f>
        <v>Jdos. Violencia contra la mujer</v>
      </c>
      <c r="B10" s="445">
        <f>IF(ISNUMBER(NºAsuntos!G10/NºAsuntos!E10),NºAsuntos!G10/NºAsuntos!E10," - ")</f>
        <v>0.90259740259740262</v>
      </c>
      <c r="C10" s="446">
        <f>IF(ISNUMBER(NºAsuntos!I10/NºAsuntos!G10),NºAsuntos!I10/NºAsuntos!G10," - ")</f>
        <v>0.37410071942446044</v>
      </c>
      <c r="D10" s="447">
        <f>IF(ISNUMBER('Resol  Asuntos'!D10/NºAsuntos!G10),'Resol  Asuntos'!D10/NºAsuntos!G10," - ")</f>
        <v>0.38848920863309355</v>
      </c>
      <c r="E10" s="448">
        <f>IF(ISNUMBER((NºAsuntos!C10+NºAsuntos!E10)/NºAsuntos!G10),(NºAsuntos!C10+NºAsuntos!E10)/NºAsuntos!G10," - ")</f>
        <v>1.3741007194244603</v>
      </c>
      <c r="G10" s="466"/>
    </row>
    <row r="11" spans="1:7">
      <c r="A11" s="405" t="str">
        <f>Datos!A11</f>
        <v xml:space="preserve">Jdos. Familia                                   </v>
      </c>
      <c r="B11" s="445">
        <f>IF(ISNUMBER(NºAsuntos!G11/NºAsuntos!E11),NºAsuntos!G11/NºAsuntos!E11," - ")</f>
        <v>0.98519808445798873</v>
      </c>
      <c r="C11" s="446">
        <f>IF(ISNUMBER(NºAsuntos!I11/NºAsuntos!G11),NºAsuntos!I11/NºAsuntos!G11," - ")</f>
        <v>0.4401237295625276</v>
      </c>
      <c r="D11" s="447">
        <f>IF(ISNUMBER('Resol  Asuntos'!D11/NºAsuntos!G11),'Resol  Asuntos'!D11/NºAsuntos!G11," - ")</f>
        <v>0.23685373398144058</v>
      </c>
      <c r="E11" s="448">
        <f>IF(ISNUMBER((NºAsuntos!C11+NºAsuntos!E11)/NºAsuntos!G11),(NºAsuntos!C11+NºAsuntos!E11)/NºAsuntos!G11," - ")</f>
        <v>1.5355722492266903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1.0622914349276975</v>
      </c>
      <c r="C13" s="862">
        <f>IF(ISNUMBER(NºAsuntos!I13/NºAsuntos!G13),NºAsuntos!I13/NºAsuntos!G13," - ")</f>
        <v>0.60116346713205349</v>
      </c>
      <c r="D13" s="863">
        <f>IF(ISNUMBER('Resol  Asuntos'!D13/NºAsuntos!G13),'Resol  Asuntos'!D13/NºAsuntos!G13," - ")</f>
        <v>0.39342641070389761</v>
      </c>
      <c r="E13" s="864">
        <f>IF(ISNUMBER((NºAsuntos!C13+NºAsuntos!E13)/NºAsuntos!G13),(NºAsuntos!C13+NºAsuntos!E13)/NºAsuntos!G13," - ")</f>
        <v>1.5962187318208261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0.96854930109557991</v>
      </c>
      <c r="C15" s="446">
        <f>IF(ISNUMBER(NºAsuntos!I15/NºAsuntos!G15),NºAsuntos!I15/NºAsuntos!G15," - ")</f>
        <v>0.15221843003412969</v>
      </c>
      <c r="D15" s="447">
        <f>IF(ISNUMBER('Resol  Asuntos'!D15/NºAsuntos!G15),'Resol  Asuntos'!D15/NºAsuntos!G15," - ")</f>
        <v>0.24505119453924915</v>
      </c>
      <c r="E15" s="448">
        <f>IF(ISNUMBER((NºAsuntos!C15+NºAsuntos!E15)/NºAsuntos!G15),(NºAsuntos!C15+NºAsuntos!E15)/NºAsuntos!G15," - ")</f>
        <v>1.1597269624573379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0.99449541284403675</v>
      </c>
      <c r="C17" s="446">
        <f>IF(ISNUMBER(NºAsuntos!I17/NºAsuntos!G17),NºAsuntos!I17/NºAsuntos!G17," - ")</f>
        <v>5.4735547355473556E-2</v>
      </c>
      <c r="D17" s="447">
        <f>IF(ISNUMBER('Resol  Asuntos'!D17/NºAsuntos!G17),'Resol  Asuntos'!D17/NºAsuntos!G17," - ")</f>
        <v>0.1070110701107011</v>
      </c>
      <c r="E17" s="448">
        <f>IF(ISNUMBER((NºAsuntos!C17+NºAsuntos!E17)/NºAsuntos!G17),(NºAsuntos!C17+NºAsuntos!E17)/NºAsuntos!G17," - ")</f>
        <v>1.0485854858548584</v>
      </c>
      <c r="G17" s="466"/>
    </row>
    <row r="18" spans="1:7" ht="14.25" thickTop="1" thickBot="1">
      <c r="A18" s="851" t="str">
        <f>Datos!A18</f>
        <v>TOTAL</v>
      </c>
      <c r="B18" s="861">
        <f>IF(ISNUMBER(NºAsuntos!G18/NºAsuntos!E18),NºAsuntos!G18/NºAsuntos!E18," - ")</f>
        <v>0.97201996236603128</v>
      </c>
      <c r="C18" s="862">
        <f>IF(ISNUMBER(NºAsuntos!I18/NºAsuntos!G18),NºAsuntos!I18/NºAsuntos!G18," - ")</f>
        <v>0.13887719888898242</v>
      </c>
      <c r="D18" s="865">
        <f>IF(ISNUMBER('Resol  Asuntos'!D18/NºAsuntos!G18),'Resol  Asuntos'!D18/NºAsuntos!G18," - ")</f>
        <v>0.22615941419072469</v>
      </c>
      <c r="E18" s="864">
        <f>IF(ISNUMBER((NºAsuntos!C18+NºAsuntos!E18)/NºAsuntos!G18),(NºAsuntos!C18+NºAsuntos!E18)/NºAsuntos!G18," - ")</f>
        <v>1.1445164548438684</v>
      </c>
      <c r="G18" s="466"/>
    </row>
    <row r="19" spans="1:7" ht="15.75" customHeight="1" thickTop="1" thickBot="1">
      <c r="A19" s="796" t="str">
        <f>Datos!A19</f>
        <v>TOTAL JURISDICCIONES</v>
      </c>
      <c r="B19" s="811">
        <f>IF(ISNUMBER(NºAsuntos!G19/NºAsuntos!E19),NºAsuntos!G19/NºAsuntos!E19," - ")</f>
        <v>1.0234465763069882</v>
      </c>
      <c r="C19" s="812">
        <f>IF(ISNUMBER(NºAsuntos!I19/NºAsuntos!G19),NºAsuntos!I19/NºAsuntos!G19," - ")</f>
        <v>0.41223212135805443</v>
      </c>
      <c r="D19" s="813">
        <f>IF(ISNUMBER('Resol  Asuntos'!D19/NºAsuntos!G19),'Resol  Asuntos'!D19/NºAsuntos!G19," - ")</f>
        <v>0.32506621719239104</v>
      </c>
      <c r="E19" s="814">
        <f>IF(ISNUMBER((NºAsuntos!C19+NºAsuntos!E19)/NºAsuntos!G19),(NºAsuntos!C19+NºAsuntos!E19)/NºAsuntos!G19," - ")</f>
        <v>1.4116129476110213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FJlr6FI6dMfhvhS7erW2QenIrTrImV+P7I0QksXs/gCKYPI8wNCWet/Jjaz0bONVZBwGnQ32RCzgMG2L4SdEw==" saltValue="M21gKzF8OekxVzrOGjGu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SANTANDER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10</v>
      </c>
      <c r="B9" s="180" t="s">
        <v>246</v>
      </c>
      <c r="C9" s="163" t="str">
        <f>Datos!A9</f>
        <v xml:space="preserve">Jdos. 1ª Instancia   </v>
      </c>
      <c r="D9" s="163"/>
      <c r="E9" s="1028">
        <f>IF(ISNUMBER(Datos!AQ9),Datos!AQ9," - ")</f>
        <v>10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2541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4944</v>
      </c>
      <c r="Y9" s="337">
        <f>SUM(W9:X9)</f>
        <v>4944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9034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6173</v>
      </c>
      <c r="AJ9" s="232" t="str">
        <f>IF(ISNUMBER(Datos!BW9),Datos!BW9," - ")</f>
        <v xml:space="preserve"> - </v>
      </c>
      <c r="AK9" s="231" t="str">
        <f>IF(ISNUMBER(Datos!BX9),Datos!BX9," - ")</f>
        <v xml:space="preserve"> - </v>
      </c>
      <c r="AL9" s="246">
        <f>IF(ISNUMBER(NºAsuntos!G9/NºAsuntos!E9),NºAsuntos!G9/NºAsuntos!E9," - ")</f>
        <v>1.0769790983905032</v>
      </c>
      <c r="AM9" s="263">
        <f>IF(ISNUMBER(((NºAsuntos!I9/NºAsuntos!G9)*11)/factor_trimestre),((NºAsuntos!I9/NºAsuntos!G9)*11)/factor_trimestre," - ")</f>
        <v>6.9073573167433047</v>
      </c>
      <c r="AN9" s="247">
        <f>IF(ISNUMBER('Resol  Asuntos'!D9/NºAsuntos!G9),'Resol  Asuntos'!D9/NºAsuntos!G9," - ")</f>
        <v>0.41743305382742762</v>
      </c>
      <c r="AO9" s="248">
        <f>IF(ISNUMBER((NºAsuntos!C9+NºAsuntos!E9)/NºAsuntos!G9),(NºAsuntos!C9+NºAsuntos!E9)/NºAsuntos!G9," - ")</f>
        <v>1.6075872328915337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37</v>
      </c>
      <c r="G10" s="336">
        <f>IF(ISNUMBER(Datos!I10),Datos!I10," - ")</f>
        <v>37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139</v>
      </c>
      <c r="X10" s="229">
        <f>IF(ISNUMBER(Datos!Q10),Datos!Q10," - ")</f>
        <v>27</v>
      </c>
      <c r="Y10" s="337">
        <f t="shared" ref="Y10:Y12" si="0">SUM(W10:X10)</f>
        <v>166</v>
      </c>
      <c r="Z10" s="338" t="str">
        <f>IF(ISNUMBER(Datos!CC10),Datos!CC10," - ")</f>
        <v xml:space="preserve"> - </v>
      </c>
      <c r="AA10" s="335">
        <f>IF(ISNUMBER(Datos!L10),Datos!L10,"-")</f>
        <v>52</v>
      </c>
      <c r="AB10" s="337">
        <f>IF(ISNUMBER(Datos!R10),Datos!R10," - ")</f>
        <v>91</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54</v>
      </c>
      <c r="AJ10" s="234" t="str">
        <f>IF(ISNUMBER(Datos!BW10),Datos!BW10," - ")</f>
        <v xml:space="preserve"> - </v>
      </c>
      <c r="AK10" s="235" t="str">
        <f>IF(ISNUMBER(Datos!BX10),Datos!BX10," - ")</f>
        <v xml:space="preserve"> - </v>
      </c>
      <c r="AL10" s="246">
        <f>IF(ISNUMBER(NºAsuntos!G10/NºAsuntos!E10),NºAsuntos!G10/NºAsuntos!E10," - ")</f>
        <v>0.90259740259740262</v>
      </c>
      <c r="AM10" s="263">
        <f>IF(ISNUMBER(((NºAsuntos!I10/NºAsuntos!G10)*11)/factor_trimestre),((NºAsuntos!I10/NºAsuntos!G10)*11)/factor_trimestre," - ")</f>
        <v>4.1151079136690649</v>
      </c>
      <c r="AN10" s="247">
        <f>IF(ISNUMBER('Resol  Asuntos'!D10/NºAsuntos!G10),'Resol  Asuntos'!D10/NºAsuntos!G10," - ")</f>
        <v>0.38848920863309355</v>
      </c>
      <c r="AO10" s="248">
        <f>IF(ISNUMBER((NºAsuntos!C10+NºAsuntos!E10)/NºAsuntos!G10),(NºAsuntos!C10+NºAsuntos!E10)/NºAsuntos!G10," - ")</f>
        <v>1.3741007194244603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228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280</v>
      </c>
      <c r="Y11" s="337">
        <f t="shared" si="0"/>
        <v>280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712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536</v>
      </c>
      <c r="AJ11" s="234" t="str">
        <f>IF(ISNUMBER(Datos!BW11),Datos!BW11," - ")</f>
        <v xml:space="preserve"> - </v>
      </c>
      <c r="AK11" s="235" t="str">
        <f>IF(ISNUMBER(Datos!BX11),Datos!BX11," - ")</f>
        <v xml:space="preserve"> - </v>
      </c>
      <c r="AL11" s="246">
        <f>IF(ISNUMBER(NºAsuntos!G11/NºAsuntos!E11),NºAsuntos!G11/NºAsuntos!E11," - ")</f>
        <v>0.98519808445798873</v>
      </c>
      <c r="AM11" s="263">
        <f>IF(ISNUMBER(((NºAsuntos!I11/NºAsuntos!G11)*11)/factor_trimestre),((NºAsuntos!I11/NºAsuntos!G11)*11)/factor_trimestre," - ")</f>
        <v>4.8413610251878039</v>
      </c>
      <c r="AN11" s="247">
        <f>IF(ISNUMBER('Resol  Asuntos'!D11/NºAsuntos!G11),'Resol  Asuntos'!D11/NºAsuntos!G11," - ")</f>
        <v>0.23685373398144058</v>
      </c>
      <c r="AO11" s="248">
        <f>IF(ISNUMBER((NºAsuntos!C11+NºAsuntos!E11)/NºAsuntos!G11),(NºAsuntos!C11+NºAsuntos!E11)/NºAsuntos!G11," - ")</f>
        <v>1.5355722492266903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13</v>
      </c>
      <c r="F13" s="868">
        <f t="shared" si="3"/>
        <v>37</v>
      </c>
      <c r="G13" s="869">
        <f t="shared" si="3"/>
        <v>37</v>
      </c>
      <c r="H13" s="868">
        <f t="shared" si="3"/>
        <v>0</v>
      </c>
      <c r="I13" s="870">
        <f t="shared" si="3"/>
        <v>0</v>
      </c>
      <c r="J13" s="870">
        <f t="shared" si="3"/>
        <v>0</v>
      </c>
      <c r="K13" s="870">
        <f t="shared" si="3"/>
        <v>0</v>
      </c>
      <c r="L13" s="870">
        <f t="shared" si="3"/>
        <v>2815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139</v>
      </c>
      <c r="X13" s="870">
        <f t="shared" si="4"/>
        <v>5251</v>
      </c>
      <c r="Y13" s="871">
        <f t="shared" si="4"/>
        <v>5390</v>
      </c>
      <c r="Z13" s="871">
        <f t="shared" si="4"/>
        <v>0</v>
      </c>
      <c r="AA13" s="871">
        <f t="shared" si="4"/>
        <v>52</v>
      </c>
      <c r="AB13" s="871">
        <f t="shared" si="4"/>
        <v>9837</v>
      </c>
      <c r="AC13" s="871">
        <f t="shared" si="4"/>
        <v>143</v>
      </c>
      <c r="AD13" s="871">
        <f t="shared" si="4"/>
        <v>0</v>
      </c>
      <c r="AE13" s="875">
        <f t="shared" si="4"/>
        <v>0</v>
      </c>
      <c r="AF13" s="868">
        <f t="shared" si="4"/>
        <v>0</v>
      </c>
      <c r="AG13" s="876">
        <f t="shared" si="4"/>
        <v>0</v>
      </c>
      <c r="AH13" s="873">
        <f t="shared" si="4"/>
        <v>0</v>
      </c>
      <c r="AI13" s="868">
        <f t="shared" si="4"/>
        <v>6763</v>
      </c>
      <c r="AJ13" s="870">
        <f t="shared" si="4"/>
        <v>0</v>
      </c>
      <c r="AK13" s="873">
        <f>SUBTOTAL(9,AK9:AK12)</f>
        <v>0</v>
      </c>
      <c r="AL13" s="877">
        <f>IF(ISNUMBER(NºAsuntos!G13/NºAsuntos!E13),NºAsuntos!G13/NºAsuntos!E13," - ")</f>
        <v>1.0622914349276975</v>
      </c>
      <c r="AM13" s="877">
        <f>IF(ISNUMBER(((NºAsuntos!I13/NºAsuntos!G13)*11)/factor_trimestre),((NºAsuntos!I13/NºAsuntos!G13)*11)/factor_trimestre," - ")</f>
        <v>6.6127981384525887</v>
      </c>
      <c r="AN13" s="878">
        <f>IF(ISNUMBER('Resol  Asuntos'!D13/NºAsuntos!G13),'Resol  Asuntos'!D13/NºAsuntos!G13," - ")</f>
        <v>0.39342641070389761</v>
      </c>
      <c r="AO13" s="879">
        <f>IF(ISNUMBER((NºAsuntos!C13+NºAsuntos!E13)/NºAsuntos!G13),(NºAsuntos!C13+NºAsuntos!E13)/NºAsuntos!G13," - ")</f>
        <v>1.5962187318208261</v>
      </c>
      <c r="AP13" s="880" t="str">
        <f t="shared" si="2"/>
        <v xml:space="preserve"> - </v>
      </c>
      <c r="AQ13" s="880">
        <f>IF(ISNUMBER((H13-W13+K13)/(F13)),(H13-W13+K13)/(F13)," - ")</f>
        <v>-3.7567567567567566</v>
      </c>
      <c r="AR13" s="881">
        <f>IF(ISNUMBER((Datos!P13-Datos!Q13)/(Datos!R13-Datos!P13+Datos!Q13)),(Datos!P13-Datos!Q13)/(Datos!R13-Datos!P13+Datos!Q13)," - ")</f>
        <v>-0.19848447812270839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1228</v>
      </c>
      <c r="G15" s="336">
        <f>IF(ISNUMBER(IF(D_I="SI",Datos!I15,Datos!I15+Datos!AC15)),IF(D_I="SI",Datos!I15,Datos!I15+Datos!AC15)," - ")</f>
        <v>1305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982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10255</v>
      </c>
      <c r="X15" s="229">
        <f>IF(ISNUMBER(Datos!Q15),Datos!Q15," - ")</f>
        <v>1115</v>
      </c>
      <c r="Y15" s="337">
        <f>SUM(W15)</f>
        <v>10255</v>
      </c>
      <c r="Z15" s="338" t="str">
        <f>IF(ISNUMBER(Datos!CC15),Datos!CC15," - ")</f>
        <v xml:space="preserve"> - </v>
      </c>
      <c r="AA15" s="335">
        <f>IF(ISNUMBER(IF(D_I="SI",Datos!L15,Datos!L15+Datos!AF15)),IF(D_I="SI",Datos!L15,Datos!L15+Datos!AF15)," - ")</f>
        <v>1561</v>
      </c>
      <c r="AB15" s="337">
        <f>IF(ISNUMBER(Datos!R15),Datos!R15," - ")</f>
        <v>480</v>
      </c>
      <c r="AC15" s="337">
        <f t="shared" ref="AC15:AC17" si="6">IF(ISNUMBER(AA15+AB15),AA15+AB15," - ")</f>
        <v>2041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2513</v>
      </c>
      <c r="AJ15" s="234" t="str">
        <f>IF(ISNUMBER(Datos!BW15),Datos!BW15," - ")</f>
        <v xml:space="preserve"> - </v>
      </c>
      <c r="AK15" s="235" t="str">
        <f>IF(ISNUMBER(Datos!BX15),Datos!BX15," - ")</f>
        <v xml:space="preserve"> - </v>
      </c>
      <c r="AL15" s="246">
        <f>IF(ISNUMBER(NºAsuntos!G15/NºAsuntos!E15),NºAsuntos!G15/NºAsuntos!E15," - ")</f>
        <v>0.96854930109557991</v>
      </c>
      <c r="AM15" s="263">
        <f>IF(ISNUMBER(((NºAsuntos!I15/NºAsuntos!G15)*11)/factor_trimestre),((NºAsuntos!I15/NºAsuntos!G15)*11)/factor_trimestre," - ")</f>
        <v>1.6744027303754265</v>
      </c>
      <c r="AN15" s="247">
        <f>IF(ISNUMBER('Resol  Asuntos'!D15/NºAsuntos!G15),'Resol  Asuntos'!D15/NºAsuntos!G15," - ")</f>
        <v>0.24505119453924915</v>
      </c>
      <c r="AO15" s="248">
        <f>IF(ISNUMBER((NºAsuntos!C15+NºAsuntos!E15)/NºAsuntos!G15),(NºAsuntos!C15+NºAsuntos!E15)/NºAsuntos!G15," - ")</f>
        <v>1.1597269624573379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1626</v>
      </c>
      <c r="X17" s="229">
        <f>IF(ISNUMBER(Datos!Q17),Datos!Q17," - ")</f>
        <v>21</v>
      </c>
      <c r="Y17" s="337">
        <f t="shared" si="7"/>
        <v>1647</v>
      </c>
      <c r="Z17" s="338" t="str">
        <f>IF(ISNUMBER(Datos!CC17),Datos!CC17," - ")</f>
        <v xml:space="preserve"> - </v>
      </c>
      <c r="AA17" s="335">
        <f>IF(ISNUMBER(Datos!L17),Datos!L17,"-")</f>
        <v>89</v>
      </c>
      <c r="AB17" s="337">
        <f>IF(ISNUMBER(Datos!R17),Datos!R17," - ")</f>
        <v>9</v>
      </c>
      <c r="AC17" s="337">
        <f t="shared" si="6"/>
        <v>98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174</v>
      </c>
      <c r="AJ17" s="234" t="str">
        <f>IF(ISNUMBER(Datos!BW17),Datos!BW17," - ")</f>
        <v xml:space="preserve"> - </v>
      </c>
      <c r="AK17" s="235" t="str">
        <f>IF(ISNUMBER(Datos!BX17),Datos!BX17," - ")</f>
        <v xml:space="preserve"> - </v>
      </c>
      <c r="AL17" s="246">
        <f>IF(ISNUMBER(NºAsuntos!G17/NºAsuntos!E17),NºAsuntos!G17/NºAsuntos!E17," - ")</f>
        <v>0.99449541284403675</v>
      </c>
      <c r="AM17" s="263">
        <f>IF(ISNUMBER(((NºAsuntos!I17/NºAsuntos!G17)*11)/factor_trimestre),((NºAsuntos!I17/NºAsuntos!G17)*11)/factor_trimestre," - ")</f>
        <v>0.60209102091020916</v>
      </c>
      <c r="AN17" s="247">
        <f>IF(ISNUMBER('Resol  Asuntos'!D17/NºAsuntos!G17),'Resol  Asuntos'!D17/NºAsuntos!G17," - ")</f>
        <v>0.1070110701107011</v>
      </c>
      <c r="AO17" s="248">
        <f>IF(ISNUMBER((NºAsuntos!C17+NºAsuntos!E17)/NºAsuntos!G17),(NºAsuntos!C17+NºAsuntos!E17)/NºAsuntos!G17," - ")</f>
        <v>1.0485854858548584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1228</v>
      </c>
      <c r="G18" s="869">
        <f>SUBTOTAL(9,G15:G17)</f>
        <v>1375</v>
      </c>
      <c r="H18" s="868">
        <f t="shared" ref="H18:O18" si="10">SUBTOTAL(9,H14:H17)</f>
        <v>0</v>
      </c>
      <c r="I18" s="870">
        <f t="shared" si="10"/>
        <v>0</v>
      </c>
      <c r="J18" s="870">
        <f t="shared" si="10"/>
        <v>0</v>
      </c>
      <c r="K18" s="870">
        <f t="shared" si="10"/>
        <v>0</v>
      </c>
      <c r="L18" s="870">
        <f t="shared" si="10"/>
        <v>1003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11881</v>
      </c>
      <c r="X18" s="870">
        <f t="shared" si="11"/>
        <v>1136</v>
      </c>
      <c r="Y18" s="871">
        <f t="shared" si="11"/>
        <v>11902</v>
      </c>
      <c r="Z18" s="871">
        <f t="shared" si="11"/>
        <v>0</v>
      </c>
      <c r="AA18" s="871">
        <f t="shared" si="11"/>
        <v>1650</v>
      </c>
      <c r="AB18" s="871">
        <f t="shared" si="11"/>
        <v>489</v>
      </c>
      <c r="AC18" s="871">
        <f t="shared" si="11"/>
        <v>2139</v>
      </c>
      <c r="AD18" s="871">
        <f t="shared" si="11"/>
        <v>0</v>
      </c>
      <c r="AE18" s="875">
        <f t="shared" si="11"/>
        <v>0</v>
      </c>
      <c r="AF18" s="868">
        <f t="shared" si="11"/>
        <v>0</v>
      </c>
      <c r="AG18" s="876">
        <f t="shared" si="11"/>
        <v>0</v>
      </c>
      <c r="AH18" s="873">
        <f t="shared" si="11"/>
        <v>0</v>
      </c>
      <c r="AI18" s="868">
        <f t="shared" si="11"/>
        <v>2687</v>
      </c>
      <c r="AJ18" s="870">
        <f t="shared" si="11"/>
        <v>0</v>
      </c>
      <c r="AK18" s="873">
        <f t="shared" si="11"/>
        <v>0</v>
      </c>
      <c r="AL18" s="877">
        <f>IF(ISNUMBER(NºAsuntos!G18/NºAsuntos!E18),NºAsuntos!G18/NºAsuntos!E18," - ")</f>
        <v>0.97201996236603128</v>
      </c>
      <c r="AM18" s="877">
        <f>IF(ISNUMBER(((NºAsuntos!I18/NºAsuntos!G18)*11)/factor_trimestre),((NºAsuntos!I18/NºAsuntos!G18)*11)/factor_trimestre," - ")</f>
        <v>1.5276491877788065</v>
      </c>
      <c r="AN18" s="878">
        <f>IF(ISNUMBER('Resol  Asuntos'!D18/NºAsuntos!G18),'Resol  Asuntos'!D18/NºAsuntos!G18," - ")</f>
        <v>0.22615941419072469</v>
      </c>
      <c r="AO18" s="879">
        <f>IF(ISNUMBER((NºAsuntos!C18+NºAsuntos!E18)/NºAsuntos!G18),(NºAsuntos!C18+NºAsuntos!E18)/NºAsuntos!G18," - ")</f>
        <v>1.1445164548438684</v>
      </c>
      <c r="AP18" s="880" t="str">
        <f t="shared" si="2"/>
        <v xml:space="preserve"> - </v>
      </c>
      <c r="AQ18" s="880">
        <f>IF(ISNUMBER((H18-W18+K18)/(F18)),(H18-W18+K18)/(F18)," - ")</f>
        <v>-9.6750814332247561</v>
      </c>
      <c r="AR18" s="881">
        <f>IF(ISNUMBER((Datos!P18-Datos!Q18)/(Datos!R18-Datos!P18+Datos!Q18)),(Datos!P18-Datos!Q18)/(Datos!R18-Datos!P18+Datos!Q18)," - ")</f>
        <v>-0.21382636655948553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1265</v>
      </c>
      <c r="G19" s="824">
        <f t="shared" si="13"/>
        <v>1412</v>
      </c>
      <c r="H19" s="823">
        <f t="shared" si="13"/>
        <v>0</v>
      </c>
      <c r="I19" s="825">
        <f t="shared" si="13"/>
        <v>0</v>
      </c>
      <c r="J19" s="825">
        <f t="shared" si="13"/>
        <v>0</v>
      </c>
      <c r="K19" s="884">
        <f t="shared" si="13"/>
        <v>0</v>
      </c>
      <c r="L19" s="825">
        <f t="shared" si="13"/>
        <v>3818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12020</v>
      </c>
      <c r="X19" s="824">
        <f t="shared" si="14"/>
        <v>6387</v>
      </c>
      <c r="Y19" s="831">
        <f t="shared" si="14"/>
        <v>17292</v>
      </c>
      <c r="Z19" s="831">
        <f t="shared" si="14"/>
        <v>0</v>
      </c>
      <c r="AA19" s="831">
        <f t="shared" si="14"/>
        <v>1702</v>
      </c>
      <c r="AB19" s="831">
        <f t="shared" si="14"/>
        <v>10326</v>
      </c>
      <c r="AC19" s="831">
        <f t="shared" si="14"/>
        <v>2282</v>
      </c>
      <c r="AD19" s="831">
        <f t="shared" si="14"/>
        <v>0</v>
      </c>
      <c r="AE19" s="833">
        <f t="shared" si="14"/>
        <v>0</v>
      </c>
      <c r="AF19" s="834">
        <f t="shared" si="14"/>
        <v>0</v>
      </c>
      <c r="AG19" s="835">
        <f t="shared" si="14"/>
        <v>0</v>
      </c>
      <c r="AH19" s="833">
        <f t="shared" si="14"/>
        <v>0</v>
      </c>
      <c r="AI19" s="823">
        <f t="shared" si="14"/>
        <v>9450</v>
      </c>
      <c r="AJ19" s="823">
        <f t="shared" si="14"/>
        <v>0</v>
      </c>
      <c r="AK19" s="833">
        <f t="shared" si="14"/>
        <v>0</v>
      </c>
      <c r="AL19" s="887">
        <f>IF(ISNUMBER(NºAsuntos!G19/NºAsuntos!E19),NºAsuntos!G19/NºAsuntos!E19," - ")</f>
        <v>1.0234465763069882</v>
      </c>
      <c r="AM19" s="888">
        <f>IF(ISNUMBER(((NºAsuntos!I19/NºAsuntos!G19)*11)/factor_trimestre),((NºAsuntos!I19/NºAsuntos!G19)*11)/factor_trimestre," - ")</f>
        <v>4.5345533349385985</v>
      </c>
      <c r="AN19" s="888">
        <f>IF(ISNUMBER('Resol  Asuntos'!D19/NºAsuntos!G19),'Resol  Asuntos'!D19/NºAsuntos!G19," - ")</f>
        <v>0.32506621719239104</v>
      </c>
      <c r="AO19" s="889">
        <f>IF(ISNUMBER((NºAsuntos!C19+NºAsuntos!E19)/NºAsuntos!G19),(NºAsuntos!C19+NºAsuntos!E19)/NºAsuntos!G19," - ")</f>
        <v>1.4116129476110213</v>
      </c>
      <c r="AP19" s="890" t="str">
        <f t="shared" si="2"/>
        <v xml:space="preserve"> - </v>
      </c>
      <c r="AQ19" s="891">
        <f>IF(OR(ISNUMBER(FIND("01",Criterios!A8,1)),ISNUMBER(FIND("02",Criterios!A8,1)),ISNUMBER(FIND("03",Criterios!A8,1)),ISNUMBER(FIND("04",Criterios!A8,1))),(I19-W19+K19)/(F19-K19),(H19-W19+K19)/(F19-K19))</f>
        <v>-9.5019762845849804</v>
      </c>
      <c r="AR19" s="892">
        <f>IF(ISNUMBER((Datos!P19-Datos!Q19)/(Datos!R19-Datos!P19+Datos!Q19)),(Datos!P19-Datos!Q19)/(Datos!R19-Datos!P19+Datos!Q19)," - ")</f>
        <v>-0.19922450562233424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564.79999999999995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4.6844897741850655</v>
      </c>
      <c r="F21" s="255">
        <f>IF(ISNUMBER(STDEV(F8:F18)),STDEV(F8:F18),"-")</f>
        <v>687.62417060484427</v>
      </c>
      <c r="G21" s="256">
        <f>IF(ISNUMBER(STDEV(G8:G18)),STDEV(G8:G18),"-")</f>
        <v>708.21832791872873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5775.4087301246482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2788.9581089240714</v>
      </c>
      <c r="AJ21" s="255">
        <f t="shared" si="18"/>
        <v>0</v>
      </c>
      <c r="AK21" s="257">
        <f t="shared" si="18"/>
        <v>0</v>
      </c>
      <c r="AL21" s="252">
        <f t="shared" si="18"/>
        <v>5.9315297948314707E-2</v>
      </c>
      <c r="AM21" s="253">
        <f t="shared" si="18"/>
        <v>2.5378808071974244</v>
      </c>
      <c r="AN21" s="253">
        <f t="shared" si="18"/>
        <v>0.11475129699785187</v>
      </c>
      <c r="AO21" s="254">
        <f t="shared" si="18"/>
        <v>0.23495843039147349</v>
      </c>
      <c r="AP21" s="294" t="str">
        <f t="shared" si="18"/>
        <v>-</v>
      </c>
      <c r="AQ21" s="295">
        <f t="shared" si="18"/>
        <v>4.1848875119942033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TCl9Zyr+P+mKOi1mM0RtjwlPRVsYF9IFSyVfkA9zSpoXyrGRnBNiqspPENwqAkxromEY0jgT5y+61MxJzXEmA==" saltValue="HPaHfA7TQ82Jdb5zOPMi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SANTANDER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0.1328684162231602</v>
      </c>
      <c r="I9" s="353">
        <f>IF(ISNUMBER((Tasas!C9-Datos!BE9)/Datos!BE9),(Tasas!C9-Datos!BE9)/Datos!BE9," - ")</f>
        <v>4.5589629857007895E-2</v>
      </c>
      <c r="J9" s="352">
        <f>IF(ISNUMBER((Tasas!D9-Datos!BF9)/Datos!BF9),(Tasas!D9-Datos!BF9)/Datos!BF9," - ")</f>
        <v>0.39263728911580542</v>
      </c>
      <c r="K9" s="354">
        <f>IF(ISNUMBER((Tasas!E9-Datos!BG9)/Datos!BG9),(Tasas!E9-Datos!BG9)/Datos!BG9," - ")</f>
        <v>5.8548915274410796E-3</v>
      </c>
      <c r="M9" t="e">
        <f>IF(Monitorios="SI",Datos!CE9,0)</f>
        <v>#REF!</v>
      </c>
      <c r="N9" t="e">
        <f>IF(Monitorios="SI",Datos!CF9,0)</f>
        <v>#REF!</v>
      </c>
      <c r="O9" t="e">
        <f>IF(Monitorios="SI",Datos!CG9,0)</f>
        <v>#REF!</v>
      </c>
      <c r="P9" t="e">
        <f>IF(Monitorios="SI",Datos!CH9,0)</f>
        <v>#REF!</v>
      </c>
      <c r="Q9">
        <f>IF(J_V="SI",0,Datos!AG9)</f>
        <v>169</v>
      </c>
      <c r="R9">
        <f>IF(J_V="SI",0,Datos!AH9)</f>
        <v>1253</v>
      </c>
      <c r="S9">
        <f>IF(J_V="SI",0,Datos!AI9)</f>
        <v>1266</v>
      </c>
      <c r="T9">
        <f>IF(J_V="SI",0,Datos!AJ9)</f>
        <v>151</v>
      </c>
    </row>
    <row r="10" spans="2:20" ht="14.25">
      <c r="B10" s="278" t="s">
        <v>246</v>
      </c>
      <c r="C10" s="7" t="str">
        <f>Datos!A10</f>
        <v>Jdos. Violencia contra la mujer</v>
      </c>
      <c r="D10" s="355">
        <f>IF(ISNUMBER((Datos!I10-Datos!S10)/Datos!S10),(Datos!I10-Datos!S10)/Datos!S10," - ")</f>
        <v>-9.7560975609756101E-2</v>
      </c>
      <c r="E10" s="351">
        <f>IF(ISNUMBER((Datos!J10-Datos!T10)/Datos!T10),(Datos!J10-Datos!T10)/Datos!T10," - ")</f>
        <v>0.36283185840707965</v>
      </c>
      <c r="F10" s="351">
        <f>IF(ISNUMBER((Datos!K10-Datos!U10)/Datos!U10),(Datos!K10-Datos!U10)/Datos!U10," - ")</f>
        <v>0.18803418803418803</v>
      </c>
      <c r="G10" s="352">
        <f>IF(ISNUMBER((Datos!L10-Datos!V10)/Datos!V10),(Datos!L10-Datos!V10)/Datos!V10," - ")</f>
        <v>0.40540540540540543</v>
      </c>
      <c r="H10" s="233">
        <f>IF(ISNUMBER((Datos!M10-Datos!W10)/Datos!W10),(Datos!M10-Datos!W10)/Datos!W10," - ")</f>
        <v>5.8823529411764705E-2</v>
      </c>
      <c r="I10" s="353">
        <f>IF(ISNUMBER((Tasas!C10-Datos!BE10)/Datos!BE10),(Tasas!C10-Datos!BE10)/Datos!BE10," - ")</f>
        <v>0.18296713980167223</v>
      </c>
      <c r="J10" s="352">
        <f>IF(ISNUMBER((Tasas!D10-Datos!BF10)/Datos!BF10),(Tasas!D10-Datos!BF10)/Datos!BF10," - ")</f>
        <v>-0.10876005078290304</v>
      </c>
      <c r="K10" s="354">
        <f>IF(ISNUMBER((Tasas!E10-Datos!BG10)/Datos!BG10),(Tasas!E10-Datos!BG10)/Datos!BG10," - ")</f>
        <v>4.3959637484817272E-2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v>
      </c>
      <c r="I11" s="353">
        <f>IF(ISNUMBER((Tasas!C11-Datos!BE11)/Datos!BE11),(Tasas!C11-Datos!BE11)/Datos!BE11," - ")</f>
        <v>1.4750466461651037E-2</v>
      </c>
      <c r="J11" s="352">
        <f>IF(ISNUMBER((Tasas!D11-Datos!BF11)/Datos!BF11),(Tasas!D11-Datos!BF11)/Datos!BF11," - ")</f>
        <v>-0.5466562780172004</v>
      </c>
      <c r="K11" s="354">
        <f>IF(ISNUMBER((Tasas!E11-Datos!BG11)/Datos!BG11),(Tasas!E11-Datos!BG11)/Datos!BG11," - ")</f>
        <v>8.6097455442627785E-2</v>
      </c>
      <c r="M11" t="e">
        <f>IF(Monitorios="SI",Datos!CE11,0)</f>
        <v>#REF!</v>
      </c>
      <c r="N11" t="e">
        <f>IF(Monitorios="SI",Datos!CF11,0)</f>
        <v>#REF!</v>
      </c>
      <c r="O11" t="e">
        <f>IF(Monitorios="SI",Datos!CG11,0)</f>
        <v>#REF!</v>
      </c>
      <c r="P11" t="e">
        <f>IF(Monitorios="SI",Datos!CH11,0)</f>
        <v>#REF!</v>
      </c>
      <c r="Q11">
        <f>IF(J_V="SI",0,Datos!AG11)</f>
        <v>260</v>
      </c>
      <c r="R11">
        <f>IF(J_V="SI",0,Datos!AH11)</f>
        <v>1049</v>
      </c>
      <c r="S11">
        <f>IF(J_V="SI",0,Datos!AI11)</f>
        <v>1121</v>
      </c>
      <c r="T11">
        <f>IF(J_V="SI",0,Datos!AJ11)</f>
        <v>188</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9.6110210696920578E-2</v>
      </c>
      <c r="I13" s="360">
        <f>IF(ISNUMBER((Tasas!C13-Datos!BE13)/Datos!BE13),(Tasas!C13-Datos!BE13)/Datos!BE13," - ")</f>
        <v>4.4252503890927684E-2</v>
      </c>
      <c r="J13" s="358">
        <f>IF(ISNUMBER((Tasas!D13-Datos!BF13)/Datos!BF13),(Tasas!D13-Datos!BF13)/Datos!BF13," - ")</f>
        <v>0.1868343157827852</v>
      </c>
      <c r="K13" s="361">
        <f>IF(ISNUMBER((Tasas!E13-Datos!BG13)/Datos!BG13),(Tasas!E13-Datos!BG13)/Datos!BG13," - ")</f>
        <v>1.6096786315008611E-2</v>
      </c>
      <c r="M13" t="e">
        <f>IF(Monitorios="SI",Datos!CE13,0)</f>
        <v>#REF!</v>
      </c>
      <c r="N13" t="e">
        <f>IF(Monitorios="SI",Datos!CF13,0)</f>
        <v>#REF!</v>
      </c>
      <c r="O13" t="e">
        <f>IF(Monitorios="SI",Datos!CG13,0)</f>
        <v>#REF!</v>
      </c>
      <c r="P13" t="e">
        <f>IF(Monitorios="SI",Datos!CH13,0)</f>
        <v>#REF!</v>
      </c>
      <c r="Q13">
        <f>IF(J_V="SI",0,Datos!AG13)</f>
        <v>429</v>
      </c>
      <c r="R13">
        <f>IF(J_V="SI",0,Datos!AH13)</f>
        <v>2302</v>
      </c>
      <c r="S13">
        <f>IF(J_V="SI",0,Datos!AI13)</f>
        <v>2387</v>
      </c>
      <c r="T13">
        <f>IF(J_V="SI",0,Datos!AJ13)</f>
        <v>339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0.12889273356401384</v>
      </c>
      <c r="E15" s="351">
        <f>IF(ISNUMBER(
   IF(D_I="SI",(Datos!J15-Datos!T15)/Datos!T15,(Datos!J15+Datos!AD15-(Datos!T15+Datos!AL15))/(Datos!T15+Datos!AL15))
     ),IF(D_I="SI",(Datos!J15-Datos!T15)/Datos!T15,(Datos!J15+Datos!AD15-(Datos!T15+Datos!AL15))/(Datos!T15+Datos!AL15))," - ")</f>
        <v>4.6658758402530642E-2</v>
      </c>
      <c r="F15" s="351">
        <f>IF(ISNUMBER(
   IF(D_I="SI",(Datos!K15-Datos!U15)/Datos!U15,(Datos!K15+Datos!AE15-(Datos!U15+Datos!AM15))/(Datos!U15+Datos!AM15))
     ),IF(D_I="SI",(Datos!K15-Datos!U15)/Datos!U15,(Datos!K15+Datos!AE15-(Datos!U15+Datos!AM15))/(Datos!U15+Datos!AM15))," - ")</f>
        <v>2.3861821086261982E-2</v>
      </c>
      <c r="G15" s="352">
        <f>IF(ISNUMBER(
   IF(D_I="SI",(Datos!L15-Datos!V15)/Datos!V15,(Datos!L15+Datos!AF15-(Datos!V15+Datos!AN15))/(Datos!V15+Datos!AN15))
     ),IF(D_I="SI",(Datos!L15-Datos!V15)/Datos!V15,(Datos!L15+Datos!AF15-(Datos!V15+Datos!AN15))/(Datos!V15+Datos!AN15))," - ")</f>
        <v>0.19616858237547893</v>
      </c>
      <c r="H15" s="233">
        <f>IF(ISNUMBER((Datos!M15-Datos!W15)/Datos!W15),(Datos!M15-Datos!W15)/Datos!W15," - ")</f>
        <v>7.6182838813151563E-3</v>
      </c>
      <c r="I15" s="353">
        <f>IF(ISNUMBER((Tasas!C15-Datos!BE15)/Datos!BE15),(Tasas!C15-Datos!BE15)/Datos!BE15," - ")</f>
        <v>0.16829103082133551</v>
      </c>
      <c r="J15" s="352">
        <f>IF(ISNUMBER((Tasas!D15-Datos!BF15)/Datos!BF15),(Tasas!D15-Datos!BF15)/Datos!BF15," - ")</f>
        <v>-1.5864970126255214E-2</v>
      </c>
      <c r="K15" s="354">
        <f>IF(ISNUMBER((Tasas!E15-Datos!BG15)/Datos!BG15),(Tasas!E15-Datos!BG15)/Datos!BG15," - ")</f>
        <v>3.0502595455349144E-2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-0.11392405063291139</v>
      </c>
      <c r="E17" s="351">
        <f>IF(ISNUMBER(
   IF(D_I="SI",(Datos!J17-Datos!T17)/Datos!T17,(Datos!J17+Datos!AD17-(Datos!T17+Datos!AL17))/(Datos!T17+Datos!AL17))
     ),IF(D_I="SI",(Datos!J17-Datos!T17)/Datos!T17,(Datos!J17+Datos!AD17-(Datos!T17+Datos!AL17))/(Datos!T17+Datos!AL17))," - ")</f>
        <v>0.14175977653631286</v>
      </c>
      <c r="F17" s="351">
        <f>IF(ISNUMBER(
   IF(D_I="SI",(Datos!K17-Datos!U17)/Datos!U17,(Datos!K17+Datos!AE17-(Datos!U17+Datos!AM17))/(Datos!U17+Datos!AM17))
     ),IF(D_I="SI",(Datos!K17-Datos!U17)/Datos!U17,(Datos!K17+Datos!AE17-(Datos!U17+Datos!AM17))/(Datos!U17+Datos!AM17))," - ")</f>
        <v>0.12137931034482759</v>
      </c>
      <c r="G17" s="352">
        <f>IF(ISNUMBER(
   IF(D_I="SI",(Datos!L17-Datos!V17)/Datos!V17,(Datos!L17+Datos!AF17-(Datos!V17+Datos!AN17))/(Datos!V17+Datos!AN17))
     ),IF(D_I="SI",(Datos!L17-Datos!V17)/Datos!V17,(Datos!L17+Datos!AF17-(Datos!V17+Datos!AN17))/(Datos!V17+Datos!AN17))," - ")</f>
        <v>0.27142857142857141</v>
      </c>
      <c r="H17" s="233">
        <f>IF(ISNUMBER((Datos!M17-Datos!W17)/Datos!W17),(Datos!M17-Datos!W17)/Datos!W17," - ")</f>
        <v>5.4545454545454543E-2</v>
      </c>
      <c r="I17" s="353">
        <f>IF(ISNUMBER((Tasas!C17-Datos!BE17)/Datos!BE17),(Tasas!C17-Datos!BE17)/Datos!BE17," - ")</f>
        <v>0.13380776664909511</v>
      </c>
      <c r="J17" s="352">
        <f>IF(ISNUMBER((Tasas!D17-Datos!BF17)/Datos!BF17),(Tasas!D17-Datos!BF17)/Datos!BF17," - ")</f>
        <v>-5.959968690596007E-2</v>
      </c>
      <c r="K17" s="354">
        <f>IF(ISNUMBER((Tasas!E17-Datos!BG17)/Datos!BG17),(Tasas!E17-Datos!BG17)/Datos!BG17," - ")</f>
        <v>6.2534444007575057E-3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0.11336032388663968</v>
      </c>
      <c r="E18" s="357">
        <f>IF(ISNUMBER(
   IF(D_I="SI",(Datos!J18-Datos!T18)/Datos!T18,(Datos!J18+Datos!AD18-(Datos!T18+Datos!AL18))/(Datos!T18+Datos!AL18))
     ),IF(D_I="SI",(Datos!J18-Datos!T18)/Datos!T18,(Datos!J18+Datos!AD18-(Datos!T18+Datos!AL18))/(Datos!T18+Datos!AL18))," - ")</f>
        <v>5.845167994457915E-2</v>
      </c>
      <c r="F18" s="357">
        <f>IF(ISNUMBER(
   IF(D_I="SI",(Datos!K18-Datos!U18)/Datos!U18,(Datos!K18+Datos!AE18-(Datos!U18+Datos!AM18))/(Datos!U18+Datos!AM18))
     ),IF(D_I="SI",(Datos!K18-Datos!U18)/Datos!U18,(Datos!K18+Datos!AE18-(Datos!U18+Datos!AM18))/(Datos!U18+Datos!AM18))," - ")</f>
        <v>3.6193964765393334E-2</v>
      </c>
      <c r="G18" s="358">
        <f>IF(ISNUMBER(
   IF(D_I="SI",(Datos!L18-Datos!V18)/Datos!V18,(Datos!L18+Datos!AF18-(Datos!V18+Datos!AN18))/(Datos!V18+Datos!AN18))
     ),IF(D_I="SI",(Datos!L18-Datos!V18)/Datos!V18,(Datos!L18+Datos!AF18-(Datos!V18+Datos!AN18))/(Datos!V18+Datos!AN18))," - ")</f>
        <v>0.2</v>
      </c>
      <c r="H18" s="359">
        <f>IF(ISNUMBER((Datos!M18-Datos!W18)/Datos!W18),(Datos!M18-Datos!W18)/Datos!W18," - ")</f>
        <v>1.0530274539300489E-2</v>
      </c>
      <c r="I18" s="360">
        <f>IF(ISNUMBER((Tasas!C18-Datos!BE18)/Datos!BE18),(Tasas!C18-Datos!BE18)/Datos!BE18," - ")</f>
        <v>0.1580843363353254</v>
      </c>
      <c r="J18" s="358">
        <f>IF(ISNUMBER((Tasas!D18-Datos!BF18)/Datos!BF18),(Tasas!D18-Datos!BF18)/Datos!BF18," - ")</f>
        <v>-2.4767264719500102E-2</v>
      </c>
      <c r="K18" s="361">
        <f>IF(ISNUMBER((Tasas!E18-Datos!BG18)/Datos!BG18),(Tasas!E18-Datos!BG18)/Datos!BG18," - ")</f>
        <v>2.6599833469435553E-2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2.3579936796045701E-2</v>
      </c>
      <c r="E19" s="366">
        <f>IF(ISNUMBER(
   IF(J_V="SI",(Datos!J19-Datos!T19)/Datos!T19,(Datos!J19+Datos!Z19-(Datos!T19+Datos!AH19))/(Datos!T19+Datos!AH19))
     ),IF(J_V="SI",(Datos!J19-Datos!T19)/Datos!T19,(Datos!J19+Datos!Z19-(Datos!T19+Datos!AH19))/(Datos!T19+Datos!AH19))," - ")</f>
        <v>-8.8414634146341459E-2</v>
      </c>
      <c r="F19" s="366">
        <f>IF(ISNUMBER(
   IF(J_V="SI",(Datos!K19-Datos!U19)/Datos!U19,(Datos!K19+Datos!AA19-(Datos!U19+Datos!AI19))/(Datos!U19+Datos!AI19))
     ),IF(J_V="SI",(Datos!K19-Datos!U19)/Datos!U19,(Datos!K19+Datos!AA19-(Datos!U19+Datos!AI19))/(Datos!U19+Datos!AI19))," - ")</f>
        <v>-6.2830431979368148E-2</v>
      </c>
      <c r="G19" s="367">
        <f>IF(ISNUMBER(
   IF(J_V="SI",(Datos!L19-Datos!V19)/Datos!V19,(Datos!L19+Datos!AB19-(Datos!V19+Datos!AJ19))/(Datos!V19+Datos!AJ19))
     ),IF(J_V="SI",(Datos!L19-Datos!V19)/Datos!V19,(Datos!L19+Datos!AB19-(Datos!V19+Datos!AJ19))/(Datos!V19+Datos!AJ19))," - ")</f>
        <v>-5.1298290056998097E-2</v>
      </c>
      <c r="H19" s="368">
        <f>IF(ISNUMBER((Datos!M19-Datos!W19)/Datos!W19),(Datos!M19-Datos!W19)/Datos!W19," - ")</f>
        <v>7.0336391437308868E-2</v>
      </c>
      <c r="I19" s="365">
        <f>IF(ISNUMBER((Tasas!C19-Datos!BE19)/Datos!BE19),(Tasas!C19-Datos!BE19)/Datos!BE19," - ")</f>
        <v>1.2305288515425009E-2</v>
      </c>
      <c r="J19" s="366">
        <f>IF(ISNUMBER((Tasas!D19-Datos!BF19)/Datos!BF19),(Tasas!D19-Datos!BF19)/Datos!BF19," - ")</f>
        <v>0.10311279480450385</v>
      </c>
      <c r="K19" s="367">
        <f>IF(ISNUMBER((Tasas!E19-Datos!BG19)/Datos!BG19),(Tasas!E19-Datos!BG19)/Datos!BG19," - ")</f>
        <v>6.6029202752552639E-3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0.13130634046092546</v>
      </c>
      <c r="E21" s="281">
        <f t="shared" si="1"/>
        <v>0.14651766196046742</v>
      </c>
      <c r="F21" s="281">
        <f t="shared" si="1"/>
        <v>7.7119592069660625E-2</v>
      </c>
      <c r="G21" s="282">
        <f t="shared" si="1"/>
        <v>9.7767584630372203E-2</v>
      </c>
      <c r="H21" s="288">
        <f t="shared" si="1"/>
        <v>0.10787003579441051</v>
      </c>
      <c r="I21" s="280">
        <f t="shared" si="1"/>
        <v>6.9610936713536992E-2</v>
      </c>
      <c r="J21" s="281">
        <f t="shared" si="1"/>
        <v>0.28859318096314784</v>
      </c>
      <c r="K21" s="282">
        <f t="shared" si="1"/>
        <v>2.7957357092154828E-2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aOazeyz2eRFAdBOyivwCj7J+jyIOXLMZPzAdVyWjCQMHwnS8OgCYh3gxS3gZC8s3WCbjM9GBwprJemF/9uKHw==" saltValue="Bw/c9m8DQDgH2GN4Ikvs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